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Projekty_Holý_Archiv\2024\Cheb, Koželužská\"/>
    </mc:Choice>
  </mc:AlternateContent>
  <bookViews>
    <workbookView xWindow="0" yWindow="0" windowWidth="28800" windowHeight="11775"/>
  </bookViews>
  <sheets>
    <sheet name="Krycí list" sheetId="1" r:id="rId1"/>
    <sheet name="E Položkový rozpočet" sheetId="2" r:id="rId2"/>
  </sheets>
  <definedNames>
    <definedName name="__xlnm.Print_Area_2">'E Položkový rozpočet'!$B$1:$I$3</definedName>
    <definedName name="_xlnm.Print_Titles" localSheetId="1">'E Položkový rozpočet'!$3:$3</definedName>
    <definedName name="_xlnm.Print_Area" localSheetId="1">'E Položkový rozpočet'!$B$1:$I$143</definedName>
    <definedName name="_xlnm.Print_Area" localSheetId="0">'Krycí list'!$A$2:$D$25</definedName>
  </definedNames>
  <calcPr calcId="152511"/>
</workbook>
</file>

<file path=xl/calcChain.xml><?xml version="1.0" encoding="utf-8"?>
<calcChain xmlns="http://schemas.openxmlformats.org/spreadsheetml/2006/main">
  <c r="G54" i="2" l="1"/>
  <c r="G73" i="2"/>
  <c r="G70" i="2"/>
  <c r="G82" i="2"/>
  <c r="C12" i="1"/>
  <c r="C13" i="1"/>
  <c r="C14" i="1"/>
  <c r="A14" i="1"/>
  <c r="G100" i="2" l="1"/>
  <c r="I73" i="2"/>
  <c r="G88" i="2"/>
  <c r="G60" i="2"/>
  <c r="G66" i="2"/>
  <c r="G63" i="2"/>
  <c r="G38" i="2"/>
  <c r="G110" i="2" l="1"/>
  <c r="G76" i="2"/>
  <c r="G79" i="2"/>
  <c r="G94" i="2"/>
  <c r="G51" i="2" l="1"/>
  <c r="G125" i="2" s="1"/>
  <c r="G44" i="2"/>
  <c r="I44" i="2" l="1"/>
  <c r="G119" i="2"/>
  <c r="G47" i="2"/>
  <c r="I119" i="2" l="1"/>
  <c r="G113" i="2"/>
  <c r="G41" i="2"/>
  <c r="I41" i="2" s="1"/>
  <c r="G20" i="2"/>
  <c r="G11" i="2"/>
  <c r="G8" i="2"/>
  <c r="G5" i="2"/>
  <c r="I47" i="2" l="1"/>
  <c r="I38" i="2" l="1"/>
  <c r="A13" i="1" l="1"/>
  <c r="G14" i="2" l="1"/>
  <c r="G29" i="2" l="1"/>
  <c r="G32" i="2" s="1"/>
  <c r="I14" i="2"/>
  <c r="I11" i="2"/>
  <c r="G17" i="2"/>
  <c r="I17" i="2" s="1"/>
  <c r="G35" i="2" l="1"/>
  <c r="G23" i="2"/>
  <c r="G26" i="2" s="1"/>
  <c r="I125" i="2" l="1"/>
  <c r="B5" i="2" l="1"/>
  <c r="B8" i="2" l="1"/>
  <c r="I5" i="2"/>
  <c r="G85" i="2" l="1"/>
  <c r="C15" i="1" l="1"/>
  <c r="G103" i="2" l="1"/>
  <c r="I66" i="2"/>
  <c r="I8" i="2" l="1"/>
  <c r="I23" i="2" l="1"/>
  <c r="I20" i="2" l="1"/>
  <c r="I26" i="2"/>
  <c r="I35" i="2"/>
  <c r="I29" i="2" l="1"/>
  <c r="I32" i="2"/>
  <c r="B11" i="2" l="1"/>
  <c r="B14" i="2" l="1"/>
  <c r="B17" i="2" s="1"/>
  <c r="B20" i="2" s="1"/>
  <c r="B23" i="2" l="1"/>
  <c r="B26" i="2" l="1"/>
  <c r="B29" i="2" s="1"/>
  <c r="B32" i="2" s="1"/>
  <c r="B35" i="2" s="1"/>
  <c r="B38" i="2" l="1"/>
  <c r="B41" i="2" l="1"/>
  <c r="B44" i="2" s="1"/>
  <c r="B47" i="2" s="1"/>
  <c r="G97" i="2" l="1"/>
  <c r="I88" i="2" l="1"/>
  <c r="G91" i="2"/>
  <c r="G107" i="2" s="1"/>
  <c r="I91" i="2" l="1"/>
  <c r="G141" i="2" l="1"/>
  <c r="G138" i="2"/>
  <c r="I4" i="2" l="1"/>
  <c r="I103" i="2" l="1"/>
  <c r="I54" i="2" l="1"/>
  <c r="I110" i="2" l="1"/>
  <c r="I113" i="2" l="1"/>
  <c r="I51" i="2"/>
  <c r="I63" i="2"/>
  <c r="I60" i="2" l="1"/>
  <c r="I94" i="2" l="1"/>
  <c r="I97" i="2" l="1"/>
  <c r="A12" i="1"/>
  <c r="G57" i="2" l="1"/>
  <c r="G122" i="2" s="1"/>
  <c r="G116" i="2" s="1"/>
  <c r="I122" i="2" l="1"/>
  <c r="I116" i="2"/>
  <c r="B51" i="2"/>
  <c r="B54" i="2" s="1"/>
  <c r="B57" i="2" s="1"/>
  <c r="B60" i="2" s="1"/>
  <c r="B63" i="2" s="1"/>
  <c r="I57" i="2"/>
  <c r="I50" i="2" s="1"/>
  <c r="B66" i="2" l="1"/>
  <c r="B70" i="2" l="1"/>
  <c r="B73" i="2" s="1"/>
  <c r="B76" i="2" s="1"/>
  <c r="B12" i="1"/>
  <c r="I138" i="2"/>
  <c r="D14" i="1" s="1"/>
  <c r="I141" i="2"/>
  <c r="D15" i="1" s="1"/>
  <c r="B79" i="2" l="1"/>
  <c r="B82" i="2" s="1"/>
  <c r="I82" i="2"/>
  <c r="I85" i="2"/>
  <c r="I100" i="2"/>
  <c r="B85" i="2" l="1"/>
  <c r="B88" i="2" l="1"/>
  <c r="B91" i="2" l="1"/>
  <c r="B94" i="2" s="1"/>
  <c r="B97" i="2" s="1"/>
  <c r="B100" i="2" l="1"/>
  <c r="B103" i="2" s="1"/>
  <c r="C11" i="1"/>
  <c r="G129" i="2" l="1"/>
  <c r="I129" i="2" s="1"/>
  <c r="D11" i="1" l="1"/>
  <c r="G132" i="2" l="1"/>
  <c r="I132" i="2" s="1"/>
  <c r="D12" i="1" s="1"/>
  <c r="G135" i="2" l="1"/>
  <c r="I135" i="2" s="1"/>
  <c r="D13" i="1" s="1"/>
  <c r="I128" i="2" l="1"/>
  <c r="D16" i="1"/>
  <c r="A11" i="1" l="1"/>
  <c r="B11" i="1" l="1"/>
  <c r="I107" i="2" l="1"/>
  <c r="I79" i="2"/>
  <c r="I70" i="2"/>
  <c r="I76" i="2"/>
  <c r="I106" i="2" l="1"/>
  <c r="B14" i="1" s="1"/>
  <c r="B107" i="2"/>
  <c r="B110" i="2" s="1"/>
  <c r="I69" i="2"/>
  <c r="B13" i="1" s="1"/>
  <c r="B113" i="2" l="1"/>
  <c r="B116" i="2" s="1"/>
  <c r="B119" i="2" s="1"/>
  <c r="B122" i="2" s="1"/>
  <c r="B125" i="2" s="1"/>
  <c r="B129" i="2" l="1"/>
  <c r="B16" i="1"/>
  <c r="B18" i="1" s="1"/>
  <c r="B19" i="1" s="1"/>
  <c r="B21" i="1" s="1"/>
  <c r="B132" i="2" l="1"/>
  <c r="B135" i="2" s="1"/>
  <c r="B138" i="2" s="1"/>
  <c r="B141" i="2" s="1"/>
</calcChain>
</file>

<file path=xl/sharedStrings.xml><?xml version="1.0" encoding="utf-8"?>
<sst xmlns="http://schemas.openxmlformats.org/spreadsheetml/2006/main" count="249" uniqueCount="184">
  <si>
    <t>Datum:</t>
  </si>
  <si>
    <t>ROZPOČTOVÉ NÁKLADY</t>
  </si>
  <si>
    <t>Jméno:</t>
  </si>
  <si>
    <t>Podpis, razítko:</t>
  </si>
  <si>
    <t>Základ pro DPH</t>
  </si>
  <si>
    <t>Zadavatel:</t>
  </si>
  <si>
    <t>MJ</t>
  </si>
  <si>
    <t>Cena celkem</t>
  </si>
  <si>
    <t>m</t>
  </si>
  <si>
    <t>Cena MJ</t>
  </si>
  <si>
    <t>Zpracovatel:</t>
  </si>
  <si>
    <t>Hlavní části stavby:</t>
  </si>
  <si>
    <t>CENA ZA STAVBU CELKEM</t>
  </si>
  <si>
    <t>Celkem hlavní části stavby:</t>
  </si>
  <si>
    <t>Ostatní náklady stavby</t>
  </si>
  <si>
    <t>DPH 21%</t>
  </si>
  <si>
    <t>Ostatní náklady stavby:</t>
  </si>
  <si>
    <t>Název stavby:</t>
  </si>
  <si>
    <t>Č.</t>
  </si>
  <si>
    <t>Celkem ostatní části stavby:</t>
  </si>
  <si>
    <t>Vypracoval:</t>
  </si>
  <si>
    <r>
      <t>m</t>
    </r>
    <r>
      <rPr>
        <vertAlign val="superscript"/>
        <sz val="9"/>
        <rFont val="Calibri"/>
        <family val="2"/>
        <charset val="238"/>
        <scheme val="minor"/>
      </rPr>
      <t>2</t>
    </r>
  </si>
  <si>
    <t>Geodetické práce před výstavbou</t>
  </si>
  <si>
    <t>soubor</t>
  </si>
  <si>
    <t>Geodetické práce po výstavbě</t>
  </si>
  <si>
    <t>Vybavení staveniště, přenosné zdroje, zabezpečení staveniště, sociální zařízení, včetně jeho odstranění</t>
  </si>
  <si>
    <t>Projektová dokumentace skutečného provedení stavby - DSPS</t>
  </si>
  <si>
    <t>Geotechnický dozor stavby</t>
  </si>
  <si>
    <t>Přípravné a přidružené práce a dočasné zajištění staveniště</t>
  </si>
  <si>
    <t>agreg.</t>
  </si>
  <si>
    <t>Trny z oceli prováděné horolezeckou technikou, zainjektované cem. maltou - statická zatěžovací zkouška</t>
  </si>
  <si>
    <t>Zhotovení nátěru ocelových konstrukcí třídy I, jednosložkového, krycího (vrchního), tloušťky do 40 μm</t>
  </si>
  <si>
    <t xml:space="preserve">Montáž ocelové sítě na skalní stěnu prováděná horolezeckou technikou   </t>
  </si>
  <si>
    <t>Montáž ocelového lana pro uchycení sítě, prováděná horolezeckou technikou, pr. do 10 mm</t>
  </si>
  <si>
    <t>Lano ocelové, šestipramenné 6 x 19 drátů, pozinkované, 1 770 Mpa, D 10 mm</t>
  </si>
  <si>
    <r>
      <t>m</t>
    </r>
    <r>
      <rPr>
        <vertAlign val="superscript"/>
        <sz val="9"/>
        <rFont val="Calibri"/>
        <family val="2"/>
        <charset val="238"/>
        <scheme val="minor"/>
      </rPr>
      <t>3</t>
    </r>
  </si>
  <si>
    <t>012103000</t>
  </si>
  <si>
    <t>012303000</t>
  </si>
  <si>
    <t>013254000</t>
  </si>
  <si>
    <t>041503000</t>
  </si>
  <si>
    <t>030001000</t>
  </si>
  <si>
    <t>Geotextilie netkaná pro ochranu, separaci nebo filtraci měrná hmotnost do 200 g/m²</t>
  </si>
  <si>
    <t>Přesuny hmot</t>
  </si>
  <si>
    <t>Nakládání suti a vybouraných hmot na dopravní prostředek, pro vodorovné přemístění</t>
  </si>
  <si>
    <t>t</t>
  </si>
  <si>
    <t>tkm</t>
  </si>
  <si>
    <t>Lano ocelové, šestipramenné 6 x 19 drátů, pozinkované, 1 770 Mpa, D 8 mm</t>
  </si>
  <si>
    <t>Zhotovení nátěru ocelových konstrukcí třídy I jednosložkového základního, tloušťky do 40 μm</t>
  </si>
  <si>
    <t>Trny z injekčních zavrtávacích tyčí prováděné horolezeckou technikou zainjektované cem. maltou pr. 32 mm včetně vrtů přenosnými vrtacími kladivy na ztracenou korunku průměru 51 mm, délky do 2 m</t>
  </si>
  <si>
    <t>Pol. 155214211 * 1,2 ztratné na prořezy, překryvy a zpětné ohnutí; zaokr. na celý m</t>
  </si>
  <si>
    <t>Ocelové pZn lano min. pr. 10 mm, šestipramenné, 114 drátů (6 x 19 WSC), třídy pevnosti 1 770 Mpa, jmenovité únosnosti min. 64 kN.</t>
  </si>
  <si>
    <t>Pol. 155211112</t>
  </si>
  <si>
    <t>Statická zatěžovací zkouška provedena na geotechnikem vytipovaných místech ve skalní stěně, vytržením.</t>
  </si>
  <si>
    <t>Vnitrostaveništní manipulace a přesuny použitých stavebních materiálů.</t>
  </si>
  <si>
    <t>Geodetické zaměření skutečného provedení stavby po jejím dokončení.</t>
  </si>
  <si>
    <t>Jednotná dodávka souboru prací</t>
  </si>
  <si>
    <t>Jednotná dodávka souboru prací, dáno vyhláškou</t>
  </si>
  <si>
    <t>Přesná specifikace materiálů a postupu prací viz vyhláška č. 405/2017 Sb.</t>
  </si>
  <si>
    <t>Předpokládaná plocha, potřebná k umístění zařízení staveniště.</t>
  </si>
  <si>
    <t>Množství</t>
  </si>
  <si>
    <t>-</t>
  </si>
  <si>
    <t>R-položka</t>
  </si>
  <si>
    <t>R-155213611</t>
  </si>
  <si>
    <t>Kód
položky</t>
  </si>
  <si>
    <t>Název, výpočet a technická specifikace položky</t>
  </si>
  <si>
    <t>KRYCÍ LIST POLOŽKOVÉHO ROZPOČTU</t>
  </si>
  <si>
    <t>Pol. 919726121</t>
  </si>
  <si>
    <t>R-997013873-2</t>
  </si>
  <si>
    <t>R-997013873-1</t>
  </si>
  <si>
    <r>
      <t>Pol. 112155315 * prům. obj. hmot. dřevní štěpky 0,008 t/m</t>
    </r>
    <r>
      <rPr>
        <i/>
        <vertAlign val="superscript"/>
        <sz val="9"/>
        <rFont val="Calibri"/>
        <family val="2"/>
        <charset val="238"/>
        <scheme val="minor"/>
      </rPr>
      <t>3</t>
    </r>
    <r>
      <rPr>
        <i/>
        <sz val="9"/>
        <rFont val="Calibri"/>
        <family val="2"/>
        <charset val="238"/>
        <scheme val="minor"/>
      </rPr>
      <t>; zaokr. na 0,01 t</t>
    </r>
  </si>
  <si>
    <t>R-997013873-3</t>
  </si>
  <si>
    <t>Dozor geotechnika zhotovitele k provádění prací a přímá koordinace postupu a reakce na geotechnické podmínky stavby. Zodpovědná osoba splňující kvalifikační předpoklady geotechnického dozoru.</t>
  </si>
  <si>
    <t>Geomatrace trojrozměrné, protierozní</t>
  </si>
  <si>
    <t>Montáž ocelového pZn lana min. pr. 10 mm pro vlastní uchycení sítě po obvodu síťované plochy a montáž ocelového pZn lana min. pr. 8 mm pro vzájemné spojení jednotlivých pásů sítě, včetně manipulace s lanem, montáže a dodání spojovacího materiálu.</t>
  </si>
  <si>
    <t>(Lano pro vzájemné spojení jednotlivých pásů sítě pol. 155214111 * koef. 0,35) * 1,2 ztratné na prořezy, překryvy a zpět. ohnutí; zaokr. na celý m</t>
  </si>
  <si>
    <t>Montáž geomříže na skalní stěnu prováděná horolezeckou technikou</t>
  </si>
  <si>
    <r>
      <t>Pol. 155214112 * 1,2 ztratné na překryvy, prořezy a zpětné ohnutí; zaokr. na celý m</t>
    </r>
    <r>
      <rPr>
        <i/>
        <vertAlign val="superscript"/>
        <sz val="9"/>
        <rFont val="Calibri"/>
        <family val="2"/>
        <charset val="238"/>
        <scheme val="minor"/>
      </rPr>
      <t>2</t>
    </r>
  </si>
  <si>
    <t>Odstranění vegetace, očištění a odtěžení skalního svahu a obnova akumulačního prostoru</t>
  </si>
  <si>
    <t>Nakládání vytěženého materiálu, který nemá v ceně započtenou nakládku.</t>
  </si>
  <si>
    <t>Stavebník:</t>
  </si>
  <si>
    <t>Dvouzákrutová, ocelová ZnAl síť s oky 80 x 100 mm s výrobně podélně vpletenými lany pr. 8 mm, po 0,5 m. Tahová pevnost sítě min. 50 kN/m, tahová pevnost pásu sítě min. 366 kN. Drát pletiva min. pr. 2,7 mm, tahová pevnost 350 - 550 Mpa.</t>
  </si>
  <si>
    <t>Montáž pásů protierozní extrudované PP georohože, včetně rozvinutí a vytažení na skalní stěnu. Protierozní georohož bude podložena pod ocelovou síť v místech výskytu nesoudržného pokryvu a zvětralejších partií, náchylných k propadu skrz oka sítě, či erozi.</t>
  </si>
  <si>
    <t>ks</t>
  </si>
  <si>
    <t>Pokládka ochranných gumových plátů, včetně jejich odstranění po dokončení stavby</t>
  </si>
  <si>
    <t>kus</t>
  </si>
  <si>
    <t>Dočasná záchytná k-ce z polyamidové uzlové sítě bude doplněna o netkanou polypropylenovou geotextílii s plošnou hmotností 200 g/m².</t>
  </si>
  <si>
    <t>R-919726121</t>
  </si>
  <si>
    <t>Montáž ztužujících lan dočasných záchytných k-cí, včetně manipulace s lanem, montáže a dodání spojovacího materiálu.</t>
  </si>
  <si>
    <t>Demontáž dočasné záchytné k-ce po dokončení stavby. Za realizaci a také odstranění po dokončení stavby je zodpovědný dodavatel sanačních prací.</t>
  </si>
  <si>
    <t>Montáž dočasné záchytné k-ce, včetně navázání ke každému sloupku vázacím drátem, včetně jeho dodání. Kompozitní síť bude ztužena a navázána také na ocelové pZn lano v horní, střední a spodní části.</t>
  </si>
  <si>
    <t>Polyamidová uzlová síť s rozměrem ok 50 x 50 mm ze šňůrky min. pr. 3,5 mm</t>
  </si>
  <si>
    <t>Dočasná záchytná k-ce z polyamidové uzlové sítě s rozměrem ok 50 x 50 mm ze šňůrky min. pr. 3,5 mm.</t>
  </si>
  <si>
    <t>Trny z injekčních zavrtávacích tyčí prováděné horolezeckou technikou zainjektované cem. maltou pr. 32 mm včetně vrtů přenosnými vrtacími kladivy na ztracenou korunku průměru 51 mm, délky přes 2 do 3 m</t>
  </si>
  <si>
    <t>R-998003111</t>
  </si>
  <si>
    <t>Přesun hmot pro záchytné a ochranné konstrukce, ocelové sítě, kotvy, mikropiloty a injektování</t>
  </si>
  <si>
    <t>Očištění skalních ploch horolezeckou technikou odstranění vegetace, včetně stažení k zemi, odklizení na hromady na vzdálenost do 50 m nebo na naložení na dopravní prostředek keřů a stromů do průměru 10 cm</t>
  </si>
  <si>
    <t>Štěpkování s naložením na dopravní prostředek a odvozem do 20 km keřového porostu hustého</t>
  </si>
  <si>
    <t>Očištění skalních ploch horolezeckou technikou očištění ručními nástroji (motykami, páčidly)</t>
  </si>
  <si>
    <t>Odtěžení nestabilních hornin ze skalních stěn horolezeckou technikou s přehozením na vzdálenost do 3 m nebo s naložením na dopravní prostředek s použitím pneumatického nářadí</t>
  </si>
  <si>
    <r>
      <t>Pol. 155214111 * 1,2 ztratné na překryvy, prořezy a zpětné ohnutí; zaokr. na celý m</t>
    </r>
    <r>
      <rPr>
        <i/>
        <vertAlign val="superscript"/>
        <sz val="9"/>
        <rFont val="Calibri"/>
        <family val="2"/>
        <charset val="238"/>
        <scheme val="minor"/>
      </rPr>
      <t>2</t>
    </r>
  </si>
  <si>
    <r>
      <t>Hlavní dvouzákrutová, ocelová síť bude částečné doplněna (podložena) protierozní extrudovanou PP georohoží černé barvy, tl. do 13 mm s plošnou hmotností min. 500 g/m</t>
    </r>
    <r>
      <rPr>
        <i/>
        <vertAlign val="superscript"/>
        <sz val="9"/>
        <rFont val="Calibri"/>
        <family val="2"/>
        <charset val="238"/>
        <scheme val="minor"/>
      </rPr>
      <t>2</t>
    </r>
    <r>
      <rPr>
        <i/>
        <sz val="9"/>
        <rFont val="Calibri"/>
        <family val="2"/>
        <charset val="238"/>
        <scheme val="minor"/>
      </rPr>
      <t>, hustotou min. 900 kg/m</t>
    </r>
    <r>
      <rPr>
        <i/>
        <vertAlign val="superscript"/>
        <sz val="9"/>
        <rFont val="Calibri"/>
        <family val="2"/>
        <charset val="238"/>
        <scheme val="minor"/>
      </rPr>
      <t>3</t>
    </r>
    <r>
      <rPr>
        <i/>
        <sz val="9"/>
        <rFont val="Calibri"/>
        <family val="2"/>
        <charset val="238"/>
        <scheme val="minor"/>
      </rPr>
      <t xml:space="preserve"> a bodem tání 150 °C.</t>
    </r>
  </si>
  <si>
    <t>Zavrtávací injekční tyče z oceli 28Mn6 (580 MPa), min. pr. 32 mm, dl. min. 1,5 m pro realizaci kotvení dočasné záchytné k-ce. Jedna kotevní tyč bude kotvit vždy dva sousední sloupky.</t>
  </si>
  <si>
    <t>Šroubovací ocelové pZn oko se závitem pro injekční zavrtávací tyč pr. 32 mm, včetně montáže</t>
  </si>
  <si>
    <t>Ke každé zavrtávací tyči bude dodáno šroubovací ocelové pZn oko se závitem pro příslušný průměr tyče 32 mm.</t>
  </si>
  <si>
    <t>R-944511111</t>
  </si>
  <si>
    <t>Montáž záchytné sítě vyvěšené přes ocelové lano na sloupky, pomocí horolezecké techniky</t>
  </si>
  <si>
    <r>
      <t>Pol. R-944511111 * 1,2 ztratné na prořezy, překryvy a zpět. ohnutí; zaokr. na celý m</t>
    </r>
    <r>
      <rPr>
        <i/>
        <vertAlign val="superscript"/>
        <sz val="9"/>
        <rFont val="Calibri"/>
        <family val="2"/>
        <charset val="238"/>
        <scheme val="minor"/>
      </rPr>
      <t>2</t>
    </r>
  </si>
  <si>
    <t>R-944511811</t>
  </si>
  <si>
    <t>Demontáž záchytné sítě vyvěšené přes ocelové lano na sloupky, pomocí horolezecké techniky</t>
  </si>
  <si>
    <t>Pol. R-944511111</t>
  </si>
  <si>
    <t>Ochrana stavebních konstrukcí a samostatných prvků včetně pozdějšího odstranění</t>
  </si>
  <si>
    <t>Poplatek za uložení stavebního odpadu na recyklační skládce (skládkovné), zatříděného do Katalogu odpadů pod kódem 20 02 01: Biologicky rozložitelný odpad, nekontaminované (PAŘEZY)</t>
  </si>
  <si>
    <t>Poplatek za uložení stavebního odpadu na recyklační skládce (skládkovné), zatříděného do Katalogu odpadů pod kódem 20 02 01: Biologicky rozložitelný odpad, nekontaminované (DŘEVNÍ ŠTĚPKA)</t>
  </si>
  <si>
    <t>Poplatek za uložení stavebního odpadu na recyklační skládce (skládkovné), zatříděného do Katalogu odpadů pod kódem 17 05 04: Zemina a kamení neuvedené pod č. 17 05 03, nekontaminované (ZEMITĚ-KAMENITÁ SUŤ Z OCIŠTĚNÍ A ODTĚŽENÍ SKALNÍHO MASIVU A ODKOPÁVEK)</t>
  </si>
  <si>
    <t>Zavrtávací injekční tyče z oceli 28Mn6 (580 MPa), min. pr. 32 mm, dl. min. 3,0 m pro realizaci sloupků dočasné záchytné k-ce, celkové výšky min. 1,8 m nad terénem. Založení bude hl. min. 1,2 m, osově po cca 2,0 m.</t>
  </si>
  <si>
    <t>Pol. 155213612 / 2 ks sloupků; zaokr. na celý ks</t>
  </si>
  <si>
    <t>Pol. 155213612 + 155213611</t>
  </si>
  <si>
    <t>Ocelové pZn lano min. pr. 8 mm, šestipramenné, 114 drátů (6 x 19 WSC), třídy pevnosti 1 770 Mpa, jmenovité únosnosti min. 41 kN.</t>
  </si>
  <si>
    <t>Zajištění skalního svahu ocelovou sítí 80 x 100 mm</t>
  </si>
  <si>
    <r>
      <t xml:space="preserve">Všechny kotevní prvky budou opatřeny PKO ještě před instalací do vrtu, přičemž přetažení systému PKO do vrtu bude min. 200 mm. Způsob a provedení PKO kotevních prvků bude dle ČSN EN 1537. </t>
    </r>
    <r>
      <rPr>
        <i/>
        <u/>
        <sz val="9"/>
        <rFont val="Calibri"/>
        <family val="2"/>
        <charset val="238"/>
        <scheme val="minor"/>
      </rPr>
      <t>Krycí (vrchní) vrstvy PKO budou provedeny v černě barvě.</t>
    </r>
  </si>
  <si>
    <r>
      <t xml:space="preserve">Všechny kotevní prvky budou opatřeny PKO ještě před instalací do vrtu. Základní nátěr musí být proveden dílensky, štětcem a na celý ocelový profil. Způsob a provedení PKO kotevních prvků bude dle ČSN EN 1537. </t>
    </r>
    <r>
      <rPr>
        <i/>
        <u/>
        <sz val="9"/>
        <rFont val="Calibri"/>
        <family val="2"/>
        <charset val="238"/>
        <scheme val="minor"/>
      </rPr>
      <t>Minimální projektem požadovaná PKO všech prvků je 245 g/m</t>
    </r>
    <r>
      <rPr>
        <i/>
        <u/>
        <vertAlign val="superscript"/>
        <sz val="9"/>
        <rFont val="Calibri"/>
        <family val="2"/>
        <charset val="238"/>
        <scheme val="minor"/>
      </rPr>
      <t>2</t>
    </r>
    <r>
      <rPr>
        <i/>
        <u/>
        <sz val="9"/>
        <rFont val="Calibri"/>
        <family val="2"/>
        <charset val="238"/>
        <scheme val="minor"/>
      </rPr>
      <t>.</t>
    </r>
  </si>
  <si>
    <t>V projektem vymezených rozsazích budou pomocí horolezecké techniky odstraněny křoviny a nálet s odstraněním kořenového systému. Ten bude ponechán pouze v místech, kde by mělo odstranění negativní vliv na celistvost horniny skalního masivu. Mimo strmých skalních stěn je skalní svah v současné době celoplošně porostlý křovinami a náletem.</t>
  </si>
  <si>
    <t>Odvoz suti a vybouraných hmot na skládku nebo meziskládku se složením, na vzdálenost do 1 km</t>
  </si>
  <si>
    <t>Příplatek k ceně za odvoz suti a vybouraných hmot na skládku nebo meziskládku, ZKD 1 km přes 1 km</t>
  </si>
  <si>
    <t>R-31319104</t>
  </si>
  <si>
    <t>E POLOŽKOVÝ ROZPOČET</t>
  </si>
  <si>
    <t>Zajištění stability skalní stěny na p.p.č. 453/2 a 447/1 v k.ú. Cheb</t>
  </si>
  <si>
    <t>Město Cheb, náměstí Krále Jiřího z Poděbrad 1/14, 350 20 Cheb</t>
  </si>
  <si>
    <r>
      <t>Součtová dl. pokládky 45 m * šířka plátu 2,0 m * 1,2 ztratné na prořezy a překryvy; zaokr. na celý m</t>
    </r>
    <r>
      <rPr>
        <i/>
        <vertAlign val="superscript"/>
        <sz val="9"/>
        <rFont val="Calibri"/>
        <family val="2"/>
        <charset val="238"/>
        <scheme val="minor"/>
      </rPr>
      <t>2</t>
    </r>
  </si>
  <si>
    <r>
      <t>Součtová dl. obednění 34 m * výška 2,5 m * 1,2 ztratné na prořezy a překryvy; zaokr. na celý m</t>
    </r>
    <r>
      <rPr>
        <i/>
        <vertAlign val="superscript"/>
        <sz val="9"/>
        <rFont val="Calibri"/>
        <family val="2"/>
        <charset val="238"/>
        <scheme val="minor"/>
      </rPr>
      <t>2</t>
    </r>
  </si>
  <si>
    <t>Součtová dl. zajištění 45 m * koef. členitosti 1,2 / os. vzd sloupků 2,0 m + 1 ks krajní sloupek; zaokr. na celý ks</t>
  </si>
  <si>
    <r>
      <t>Součtová dl. zajištění 45 m * výška k-ce (1,8 + 0,2 m); zaokr. na celý m</t>
    </r>
    <r>
      <rPr>
        <i/>
        <vertAlign val="superscript"/>
        <sz val="9"/>
        <rFont val="Calibri"/>
        <family val="2"/>
        <charset val="238"/>
        <scheme val="minor"/>
      </rPr>
      <t>2</t>
    </r>
  </si>
  <si>
    <t>Součtová dl. zajištění 45 m * 3 ks ztužení po výšce + (pol. 155213611 * 2 ks lan * dl. 2,5 m); zaokr. na celý m</t>
  </si>
  <si>
    <t>Rozebrání dřevěného oplocení se sloupky osové vzdálenosti do 4,0 m, výšky do 2,5 m, osazených do hloubky 1,0 m s příčníky a ocelovými sloupky z prken a latí</t>
  </si>
  <si>
    <t>R-966003818</t>
  </si>
  <si>
    <t>Pol. 966003818</t>
  </si>
  <si>
    <t>Znovusestavení oplocení do původní polohy z původních dílů</t>
  </si>
  <si>
    <t>Stávající laťkový plot s ocelovými sloupky na betonové zídce bude v rámci stavby dočasně, částečně demontován. Jednotlivá pole výplně budou ručně demontována a ocelové sloupky budou odřezány úhlovou bruskou tak, aby bylo možné jejich pozdější navaření zpět. Vzniklý materiál bude dočasně uskladněn v rámci staveniště.</t>
  </si>
  <si>
    <t>Uložení sypanin do násypů ručně s rozprostřením sypaniny ve vrstvách a s hrubým urovnáním zhutněných z hornin nesoudržných kamenitých</t>
  </si>
  <si>
    <t>Hutnění boků násypů z hornin soudržných a sypkých pro jakýkoliv sklon, délku a míru zhutnění svahu</t>
  </si>
  <si>
    <t>Hutnění materiálu dosypávky hrany zídky pomocí ručního dusadla.</t>
  </si>
  <si>
    <t>Součtová dl. demontované části oplocení 43 m * koef. členitosti 1,1; zaokr. na celý m</t>
  </si>
  <si>
    <r>
      <t>Pol. 966003818 * prům. pl. dosypávky v řezu 0,2 m * koef. nakypření 1,2; zaokr. nahoru na 0,1 m</t>
    </r>
    <r>
      <rPr>
        <i/>
        <vertAlign val="superscript"/>
        <sz val="9"/>
        <rFont val="Calibri"/>
        <family val="2"/>
        <charset val="238"/>
        <scheme val="minor"/>
      </rPr>
      <t>3</t>
    </r>
  </si>
  <si>
    <t>Odstranění pařezu ručně na svahu přes 1:1 o průměru pařezu na řezné ploše přes 300 do 400 mm, včetně odstranění náběhových kořenů, odklizení získaného dřeva na vzdálenost do 20 m, jeho složení na hromady nebo naložení na dopravní prostředek, zasypání jámy, doplnění zeminy, zhutnění a úpravy terénu</t>
  </si>
  <si>
    <t>Odborný odhad na základě návštěvy lokality: 11 ks</t>
  </si>
  <si>
    <r>
      <t>Pol. 966003818 * přům. šířka dosypávky v řezu 1,0 m * koef. sklonu 1,15; zaokr. na celý m</t>
    </r>
    <r>
      <rPr>
        <i/>
        <vertAlign val="superscript"/>
        <sz val="9"/>
        <rFont val="Calibri"/>
        <family val="2"/>
        <charset val="238"/>
        <scheme val="minor"/>
      </rPr>
      <t>2</t>
    </r>
  </si>
  <si>
    <r>
      <t>Odborný odhad na základě návštěvy lokality: 10,8 m</t>
    </r>
    <r>
      <rPr>
        <i/>
        <vertAlign val="superscript"/>
        <sz val="9"/>
        <rFont val="Calibri"/>
        <family val="2"/>
        <charset val="238"/>
        <scheme val="minor"/>
      </rPr>
      <t>3</t>
    </r>
  </si>
  <si>
    <r>
      <t>Odborný odhad na základě návštěvy lokality: 49,6 m</t>
    </r>
    <r>
      <rPr>
        <i/>
        <vertAlign val="superscript"/>
        <sz val="9"/>
        <rFont val="Calibri"/>
        <family val="2"/>
        <charset val="238"/>
        <scheme val="minor"/>
      </rPr>
      <t>3</t>
    </r>
  </si>
  <si>
    <r>
      <t>Odkopávky a prokopávky nezapažené strojně v hornině třídy těžitelnosti I skupiny 3 přes 20 do 50 m</t>
    </r>
    <r>
      <rPr>
        <vertAlign val="superscript"/>
        <sz val="9"/>
        <rFont val="Calibri"/>
        <family val="2"/>
        <charset val="238"/>
        <scheme val="minor"/>
      </rPr>
      <t>3</t>
    </r>
  </si>
  <si>
    <r>
      <t>Součtová pl. z půdorysu 70,0 m² * prům. výška napadávky horniny, či osyp. kužele 1,0 m * 0,5; zaokr. nahoru na celý m</t>
    </r>
    <r>
      <rPr>
        <i/>
        <vertAlign val="superscript"/>
        <sz val="9"/>
        <rFont val="Calibri"/>
        <family val="2"/>
        <charset val="238"/>
        <scheme val="minor"/>
      </rPr>
      <t>3</t>
    </r>
  </si>
  <si>
    <t>Mechanické odstranění pařezů, které by znemožňovaly instalaci technických sanačních prvků. Ponechány budou pouze v místech, kde by mělo odstranění negativní vliv na celistvost horniny skalního masivu. Pařezy budou naloženy, odvezeny a zákonně zlikvidovány v příslušném zařízení. Nakládání s odpady podrobně viz část A Technická zpráva. Poplatek za skládku viz pol. R-997013873-3.</t>
  </si>
  <si>
    <t>Během realizace budou keře a nálet na místě zpracovány štěpkováním. Dřevní štěpka bude naložena, odvezena a zákonně zlikvidována v příslušném zařízení. Nakládání s odpady podrobně viz část A Technická zpráva. Poplatek za skládku viz pol. R-997013873-2.</t>
  </si>
  <si>
    <t>Odstranění svahových pokryvů a povrchově narušených částí čištěných skalních ploch bude realizováno horolezeckým způsobem, pomocí ručního nářadí, případně také pomocí pneumatického nářadí. Veškeré odtěžené hmoty budou charakteru kamenité suti. Nakládání s odpady podrobně viz část A Technická zpráva. Poplatek za skládku viz pol. R-997013873-1.</t>
  </si>
  <si>
    <r>
      <t>Odtěžení nestabilních bloků o objemu do cca 1,5 m</t>
    </r>
    <r>
      <rPr>
        <i/>
        <vertAlign val="superscript"/>
        <sz val="9"/>
        <rFont val="Calibri"/>
        <family val="2"/>
        <charset val="238"/>
        <scheme val="minor"/>
      </rPr>
      <t>3</t>
    </r>
    <r>
      <rPr>
        <i/>
        <sz val="9"/>
        <rFont val="Calibri"/>
        <family val="2"/>
        <charset val="238"/>
        <scheme val="minor"/>
      </rPr>
      <t xml:space="preserve">, které jsou výrazně postiženy zvětráním a plochami odlučnosti bude provedeno horolezeckým způsobem s použitím ručního a pneumatického nářadí (páčidla, sbíječky). </t>
    </r>
    <r>
      <rPr>
        <i/>
        <u/>
        <sz val="9"/>
        <rFont val="Calibri"/>
        <family val="2"/>
        <charset val="238"/>
        <scheme val="minor"/>
      </rPr>
      <t>O způsobu a rozsahu odtěžení rozhodne na místě geotechnik stavby nebo projektant</t>
    </r>
    <r>
      <rPr>
        <i/>
        <sz val="9"/>
        <rFont val="Calibri"/>
        <family val="2"/>
        <charset val="238"/>
        <scheme val="minor"/>
      </rPr>
      <t>, dle aktuálně zastižených geologických podmínek. Veškeré odtěžené hmoty budou charakteru kamenité suti. Nakládání s odpady podrobně viz část A Technická zpráva. Poplatek za skládku viz pol. R-997013873-1.</t>
    </r>
  </si>
  <si>
    <t>Odtěžení akumulačního prostoru pod skalním svahem. Odtěžení bude provedeno strojní odkopávkou za přítomnosti geotechnika stavby nebo projektanta. Veškeré odtěžené hmoty budou charakteru zemitě-kamenité suti. Nakládání s odpady podrobně viz část A Technická zpráva. Poplatek za skládku viz pol. R-997013873-1.</t>
  </si>
  <si>
    <t>Síť na skálu s oky 80 x 100 mm povrch ZnAl D 2,7 mm s vpleteným lanem po 500 mm</t>
  </si>
  <si>
    <r>
      <t>35 % z pol. 155214111; zaokr. na celý m</t>
    </r>
    <r>
      <rPr>
        <i/>
        <vertAlign val="superscript"/>
        <sz val="9"/>
        <rFont val="Calibri"/>
        <family val="2"/>
        <charset val="238"/>
        <scheme val="minor"/>
      </rPr>
      <t>2</t>
    </r>
  </si>
  <si>
    <t>Trny z injekčních zavrtávacích tyčí prováděné horolezeckou technikou zainjektované cem. maltou pr. 32 mm včetně vrtů přenosnými vrtacími kladivy na ztracenou korunku průměru 51 mm, délky přes 3 do 4 m</t>
  </si>
  <si>
    <r>
      <rPr>
        <i/>
        <u/>
        <sz val="9"/>
        <rFont val="Calibri"/>
        <family val="2"/>
        <charset val="238"/>
        <scheme val="minor"/>
      </rPr>
      <t>Do úrovně cca 455,0 m n. m.</t>
    </r>
    <r>
      <rPr>
        <i/>
        <sz val="9"/>
        <rFont val="Calibri"/>
        <family val="2"/>
        <charset val="238"/>
        <scheme val="minor"/>
      </rPr>
      <t xml:space="preserve"> budou použity zavrtávací injekční tyče z oceli 28Mn6 (580 MPa), min. pr. 32 mm, dl. min. 3,0 m pro kotvení sítí po obvodu, systémové a nesystémové kotvení. Základní rastr kotvení bude 2,0 x 2,0 m (H x V). Každá kotevní tyč bude dodána včetně příslušenství (spojníky, podložka 150 x 150 x 8 mm, matka).</t>
    </r>
  </si>
  <si>
    <r>
      <rPr>
        <i/>
        <u/>
        <sz val="9"/>
        <rFont val="Calibri"/>
        <family val="2"/>
        <charset val="238"/>
        <scheme val="minor"/>
      </rPr>
      <t>Od úrovně cca 455,0 m n. m.</t>
    </r>
    <r>
      <rPr>
        <i/>
        <sz val="9"/>
        <rFont val="Calibri"/>
        <family val="2"/>
        <charset val="238"/>
        <scheme val="minor"/>
      </rPr>
      <t xml:space="preserve"> budou použity zavrtávací injekční tyče z oceli 28Mn6 (580 MPa), min. pr. 32 mm, dl. min. 4,0 m pro kotvení sítí po obvodu, systémové a nesystémové kotvení. Základní rastr kotvení bude 3,0 x 2,0 m (H x V). Každá kotevní tyč bude dodána včetně příslušenství (spojníky, podložka 150 x 150 x 8 mm, matka).</t>
    </r>
  </si>
  <si>
    <r>
      <t>((Pl. 1 mb tyče 0,102139 m² * koef. zohledňující závit 1,3 * (dl. nátěru kotev. prvku 3,0 m * pol. 155213612 + dl. nátěru kotev. prvku 4,0 m * pol. 155213613)) + (pl. podložky 0,0498 m</t>
    </r>
    <r>
      <rPr>
        <i/>
        <vertAlign val="superscript"/>
        <sz val="9"/>
        <rFont val="Calibri"/>
        <family val="2"/>
        <charset val="238"/>
        <scheme val="minor"/>
      </rPr>
      <t>2</t>
    </r>
    <r>
      <rPr>
        <i/>
        <sz val="9"/>
        <rFont val="Calibri"/>
        <family val="2"/>
        <charset val="238"/>
        <scheme val="minor"/>
      </rPr>
      <t xml:space="preserve"> * (pol. 155213612 + 155213613))) * 1,2 ztratné; zaokr. na celý m</t>
    </r>
    <r>
      <rPr>
        <i/>
        <vertAlign val="superscript"/>
        <sz val="9"/>
        <rFont val="Calibri"/>
        <family val="2"/>
        <charset val="238"/>
        <scheme val="minor"/>
      </rPr>
      <t>2</t>
    </r>
  </si>
  <si>
    <r>
      <t>((Pl. 1 mb tyče 0,102139 m² * koef. zohledňující závit 1,3 * dl. nátěru kotev. prvku 0,4 m * (pol. 155213612 + 155213613)) + (pl. podložky 0,0498 m</t>
    </r>
    <r>
      <rPr>
        <i/>
        <vertAlign val="superscript"/>
        <sz val="9"/>
        <rFont val="Calibri"/>
        <family val="2"/>
        <charset val="238"/>
        <scheme val="minor"/>
      </rPr>
      <t>2</t>
    </r>
    <r>
      <rPr>
        <i/>
        <sz val="9"/>
        <rFont val="Calibri"/>
        <family val="2"/>
        <charset val="238"/>
        <scheme val="minor"/>
      </rPr>
      <t xml:space="preserve"> * (pol. 155213612 + 155213613))) * počet vrstev 2 ks * 1,2 ztratné; zaokr. na celý m</t>
    </r>
    <r>
      <rPr>
        <i/>
        <vertAlign val="superscript"/>
        <sz val="9"/>
        <rFont val="Calibri"/>
        <family val="2"/>
        <charset val="238"/>
        <scheme val="minor"/>
      </rPr>
      <t>2</t>
    </r>
  </si>
  <si>
    <t>(Součet horizont. a vertikal. dl. síťované pl. 124 m * koef. členitosti 1,2) + (lano pro vzájemné spojení jednotlivých pásů sítě pol. 155214111 * koef. 0,35); zaokr. na celý m</t>
  </si>
  <si>
    <t>Součet horizont. a vertikal. dl. síťované pl. 124 m * koef. členitosti 1,2 * 1,2 ztratné na prořezy, překryvy a zpět. ohnutí; zaokr. na celý m</t>
  </si>
  <si>
    <t>Pol. 155211122 * prům. obj. hmot. 2,0 t/m³; zaokr. na 0,01 t</t>
  </si>
  <si>
    <t>(Pol. 155211122 + 155211311 - 171111105) * prům. obj. hmot. 2,0 t/m³ + pol. 122251102 * prům. obj. hmot. 1,9 t/m³; zaokr. na 0,01 t</t>
  </si>
  <si>
    <t>Pol. R-997013873-1 + R-997013873-3</t>
  </si>
  <si>
    <t xml:space="preserve">Vodorovná doprava vytěženého materiálu (zemina a kamení) a pařezů silničními vozidly na vzdálenost 1 km. Pol. 112155315 (štěpkování) zahrnuje dopravu do 20 km, proto není v této položce uvažováno s její dopravou. </t>
  </si>
  <si>
    <t>Geodetické zaměření a vytýčení inženýrsých sítí.</t>
  </si>
  <si>
    <t>Celková předpokládaná vzdálenost odvozu materiálu na skládku / recyklační centrum je přibližně 30 km.</t>
  </si>
  <si>
    <t>Cenová
soustava</t>
  </si>
  <si>
    <r>
      <t>Součtová pl. z půdorysu 328,0 m² * koef. sklonu 3,24 * koef. členitosti 1,2; zaokr. na celý m</t>
    </r>
    <r>
      <rPr>
        <i/>
        <vertAlign val="superscript"/>
        <sz val="9"/>
        <rFont val="Calibri"/>
        <family val="2"/>
        <charset val="238"/>
        <scheme val="minor"/>
      </rPr>
      <t>2</t>
    </r>
  </si>
  <si>
    <r>
      <t>(Součet horizont. dl. síťované pl. 94 m * koef. členitosti 1,2 / os. vzd. prvků 2,0 m + 2 ks krajní) + (součet vertikál. dl. síťované pl. 19 m * koef. členitosti 1,2 / os. vzd. prvků 2,0 m + 2 ks krajní) + (dílčí 3D pl. sítě 576 m</t>
    </r>
    <r>
      <rPr>
        <i/>
        <vertAlign val="superscript"/>
        <sz val="9"/>
        <rFont val="Calibri"/>
        <family val="2"/>
        <charset val="238"/>
        <scheme val="minor"/>
      </rPr>
      <t>2</t>
    </r>
    <r>
      <rPr>
        <i/>
        <sz val="9"/>
        <rFont val="Calibri"/>
        <family val="2"/>
        <charset val="238"/>
        <scheme val="minor"/>
      </rPr>
      <t xml:space="preserve"> / (rastr 2,0 * 2,0 m) * 1,1 na prokopírování povrchu); zaokr. na celý ks</t>
    </r>
  </si>
  <si>
    <r>
      <t>(Součet horizont. dl. síťované pl. 89 m * koef. členitosti 1,2 / os. vzd. prvků 3,0 m + 2 ks krajní) + (součet vertikál. dl. síťované pl. 14 m * koef. členitosti 1,2 / os. vzd. prvků 2,0 m + 2 ks krajní) + (dílčí 3D pl. sítě 700 m</t>
    </r>
    <r>
      <rPr>
        <i/>
        <vertAlign val="superscript"/>
        <sz val="9"/>
        <rFont val="Calibri"/>
        <family val="2"/>
        <charset val="238"/>
        <scheme val="minor"/>
      </rPr>
      <t>2</t>
    </r>
    <r>
      <rPr>
        <i/>
        <sz val="9"/>
        <rFont val="Calibri"/>
        <family val="2"/>
        <charset val="238"/>
        <scheme val="minor"/>
      </rPr>
      <t xml:space="preserve"> / (rastr 3,0 * 2,0 m) * 1,1 na prokopírování povrchu); zaokr. na celý ks</t>
    </r>
  </si>
  <si>
    <r>
      <t>70 % z (součtová pl. z půdorysu 243,0 m</t>
    </r>
    <r>
      <rPr>
        <i/>
        <vertAlign val="superscript"/>
        <sz val="9"/>
        <rFont val="Calibri"/>
        <family val="2"/>
        <charset val="238"/>
        <scheme val="minor"/>
      </rPr>
      <t>2</t>
    </r>
    <r>
      <rPr>
        <i/>
        <sz val="9"/>
        <rFont val="Calibri"/>
        <family val="2"/>
        <charset val="238"/>
        <scheme val="minor"/>
      </rPr>
      <t xml:space="preserve"> * koef. sklonu 3,24 * koef. členitosti 1,2); zaokr. na celý m</t>
    </r>
    <r>
      <rPr>
        <i/>
        <vertAlign val="superscript"/>
        <sz val="9"/>
        <rFont val="Calibri"/>
        <family val="2"/>
        <charset val="238"/>
        <scheme val="minor"/>
      </rPr>
      <t>2</t>
    </r>
  </si>
  <si>
    <t>Odborný odhad geotechnika dle členitosti skalního svahu a četnosti, velikosti a šířky puklin: 3 ks</t>
  </si>
  <si>
    <r>
      <t>((Pol. 155213611 * dl. kotev. prvku 1,5 m + pol. 155213612 * dl. kotev. prvku 3,0 m + (pol. 155213613 + 155213511) * dl. kotev. prvku 4,0 m) * hmot. mb tyče 0,0036 t) + (pol. R-155213611 * hmot. ocel. oka 0,0005 t) + ((pol. 919726121 + R-919726121) * hmot. m</t>
    </r>
    <r>
      <rPr>
        <i/>
        <vertAlign val="superscript"/>
        <sz val="9"/>
        <rFont val="Calibri"/>
        <family val="2"/>
        <charset val="238"/>
        <scheme val="minor"/>
      </rPr>
      <t>2</t>
    </r>
    <r>
      <rPr>
        <i/>
        <sz val="9"/>
        <rFont val="Calibri"/>
        <family val="2"/>
        <charset val="238"/>
        <scheme val="minor"/>
      </rPr>
      <t xml:space="preserve"> geotextílie a PA sítě 0,0004 t) + (agreg. pol. č. 1 * hmot. m</t>
    </r>
    <r>
      <rPr>
        <i/>
        <vertAlign val="superscript"/>
        <sz val="9"/>
        <rFont val="Calibri"/>
        <family val="2"/>
        <charset val="238"/>
        <scheme val="minor"/>
      </rPr>
      <t>2</t>
    </r>
    <r>
      <rPr>
        <i/>
        <sz val="9"/>
        <rFont val="Calibri"/>
        <family val="2"/>
        <charset val="238"/>
        <scheme val="minor"/>
      </rPr>
      <t xml:space="preserve"> gum. plátu 0,012 t) + (pol. 619996137 * hmot. m</t>
    </r>
    <r>
      <rPr>
        <i/>
        <vertAlign val="superscript"/>
        <sz val="9"/>
        <rFont val="Calibri"/>
        <family val="2"/>
        <charset val="238"/>
        <scheme val="minor"/>
      </rPr>
      <t>2</t>
    </r>
    <r>
      <rPr>
        <i/>
        <sz val="9"/>
        <rFont val="Calibri"/>
        <family val="2"/>
        <charset val="238"/>
        <scheme val="minor"/>
      </rPr>
      <t xml:space="preserve"> dřev. obednění k-cí 0,021 t) + (pol. 69321111 * hmot. m</t>
    </r>
    <r>
      <rPr>
        <i/>
        <vertAlign val="superscript"/>
        <sz val="9"/>
        <rFont val="Calibri"/>
        <family val="2"/>
        <charset val="238"/>
        <scheme val="minor"/>
      </rPr>
      <t>2</t>
    </r>
    <r>
      <rPr>
        <i/>
        <sz val="9"/>
        <rFont val="Calibri"/>
        <family val="2"/>
        <charset val="238"/>
        <scheme val="minor"/>
      </rPr>
      <t xml:space="preserve"> protierozní rohože 0,0006 t) + (pol. R-31319104 * hmot. m</t>
    </r>
    <r>
      <rPr>
        <i/>
        <vertAlign val="superscript"/>
        <sz val="9"/>
        <rFont val="Calibri"/>
        <family val="2"/>
        <charset val="238"/>
        <scheme val="minor"/>
      </rPr>
      <t>2</t>
    </r>
    <r>
      <rPr>
        <i/>
        <sz val="9"/>
        <rFont val="Calibri"/>
        <family val="2"/>
        <charset val="238"/>
        <scheme val="minor"/>
      </rPr>
      <t xml:space="preserve"> sítě 0,00208 t) + (pol. 31452106 * hmot. mb lana pr. 8 mm 0,00021 t) + (pol. 31452107 * hmot. mb lana pr. 10 mm 0,00032 t) + (injektážní hmoty 2,5 m</t>
    </r>
    <r>
      <rPr>
        <i/>
        <vertAlign val="superscript"/>
        <sz val="9"/>
        <rFont val="Calibri"/>
        <family val="2"/>
        <charset val="238"/>
        <scheme val="minor"/>
      </rPr>
      <t>3</t>
    </r>
    <r>
      <rPr>
        <i/>
        <sz val="9"/>
        <rFont val="Calibri"/>
        <family val="2"/>
        <charset val="238"/>
        <scheme val="minor"/>
      </rPr>
      <t xml:space="preserve"> * prům. obj. hmot. betonu 2,3 t/m³); zaokr. na 0,01 t</t>
    </r>
  </si>
  <si>
    <t>(Pol. R-997013873-1 + R-997013873-3) * 29 km + pol. R-997013873-2 * 10 km; zaokr. na 0,01 tkm</t>
  </si>
  <si>
    <r>
      <t>Prům. obj. pařezu 0,226195 * pol. 112211273 * prům. obj. hmot. dřevní hmoty 1,25 t/m</t>
    </r>
    <r>
      <rPr>
        <i/>
        <vertAlign val="superscript"/>
        <sz val="9"/>
        <rFont val="Calibri"/>
        <family val="2"/>
        <charset val="238"/>
        <scheme val="minor"/>
      </rPr>
      <t>3</t>
    </r>
    <r>
      <rPr>
        <i/>
        <sz val="9"/>
        <rFont val="Calibri"/>
        <family val="2"/>
        <charset val="238"/>
        <scheme val="minor"/>
      </rPr>
      <t>; zaokr. na 0,01 t</t>
    </r>
  </si>
  <si>
    <r>
      <rPr>
        <i/>
        <u/>
        <sz val="9"/>
        <rFont val="Calibri"/>
        <family val="2"/>
        <charset val="238"/>
        <scheme val="minor"/>
      </rPr>
      <t>V průběhu stavby nesmí dojít k poškození stávajících konstrukcí, nacházejících se pod skalním svahem.</t>
    </r>
    <r>
      <rPr>
        <i/>
        <sz val="9"/>
        <rFont val="Calibri"/>
        <family val="2"/>
        <charset val="238"/>
        <scheme val="minor"/>
      </rPr>
      <t xml:space="preserve"> Jedná se především o stávající bytový objekt, přilehlou manipulační plochu a halu bývalého autoservisu, včetně všech provozních objektů a zpevněných či jiných ploch, které jsou jejich součástí. V době a v místě provádění stavebních prací (čištění a odtěžování skalního masivu) budou tyto konstrukce a plochy, před mechanickým poškozením při pádu horniny, chráněny dřevěným obedněním a gumovými pláty. Polohu upřesní geotechnik  stavby nebo projektant na místě. Dočasné zajištění podrobně viz část A Technická zpráva.</t>
    </r>
  </si>
  <si>
    <t>V závěru stavby bude stávající laťkový plot s ocelovými sloupky na betonové zídce znovusestaven do původní polohy z původních dílů. Všechny sloupky budou navařeny zpět do původních pozic a jednotlivá pole výplně budou opět ručně namontována.</t>
  </si>
  <si>
    <r>
      <t xml:space="preserve">V rámci úpravy výšky hrany betonové zídky stávajícího plotu bude tato v celé svojí délce dosypána a zhutněna ručním dusadlem tak, aby bylo možné přetažení navržené ocelové sítě. Pro dosypání hrany bude použit místní, vytěžený materiál z očištění a odtěžení skalního svahu. </t>
    </r>
    <r>
      <rPr>
        <i/>
        <u/>
        <sz val="9"/>
        <rFont val="Calibri"/>
        <family val="2"/>
        <charset val="238"/>
        <scheme val="minor"/>
      </rPr>
      <t>Úpravu hrany odsouhlasí geotechnik stavby nebo projektant na místě.</t>
    </r>
  </si>
  <si>
    <r>
      <t xml:space="preserve">Montáž pásů ocelové sítě, včetně rozvinutí a vytažení na skalní stěnu, jejich spojení předepsaným spojovacím materiálem, včetně jeho dodání a přitažení podložek a matic na ocelové trny. </t>
    </r>
    <r>
      <rPr>
        <i/>
        <u/>
        <sz val="9"/>
        <rFont val="Calibri"/>
        <family val="2"/>
        <charset val="238"/>
        <scheme val="minor"/>
      </rPr>
      <t>V úrovni cca 455,0 m n. m. je navržena změna délky a rastru kotevních prvků, viz část C Situace stavby a D Vzorový příčný řez.</t>
    </r>
  </si>
  <si>
    <t>Veškeré poplatky provozovateli skládky, recyklační linky nebo jiného zařízení na zpracování nebo likvidaci odpadů souvisejících s převzetím, uložením, zpracováním nebo likvidací odpadu. Projekt předpokládá recyklační centrum / skládku ve vzdálenosti do 30 km z místa stavby.</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</si>
</sst>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_-#,##0.00&quot; Kč&quot;;* \-#,##0.00&quot; Kč&quot;;* _-\-??&quot; Kč&quot;;@"/>
    <numFmt numFmtId="165" formatCode="#,##0&quot; Kč&quot;"/>
    <numFmt numFmtId="166" formatCode="#"/>
    <numFmt numFmtId="167" formatCode="_-* #,##0\ [$Kč-405]_-;\-* #,##0\ [$Kč-405]_-;_-* \-??\ [$Kč-405]_-;_-@_-"/>
    <numFmt numFmtId="168" formatCode="_-* #,##0.0&quot; Kč&quot;_-;\-* #,##0.0&quot; Kč&quot;_-;_-* &quot;- Kč&quot;_-;_-@_-"/>
    <numFmt numFmtId="169" formatCode="#,##0\ &quot;Kč&quot;"/>
    <numFmt numFmtId="170" formatCode="#,##0.0"/>
    <numFmt numFmtId="171" formatCode="0.0"/>
    <numFmt numFmtId="172" formatCode="#,##0.000000"/>
  </numFmts>
  <fonts count="29" x14ac:knownFonts="1">
    <font>
      <sz val="10"/>
      <name val="Arial"/>
      <family val="2"/>
      <charset val="238"/>
    </font>
    <font>
      <sz val="8"/>
      <name val="Arial"/>
      <family val="2"/>
      <charset val="238"/>
    </font>
    <font>
      <sz val="12"/>
      <name val="Arial"/>
      <family val="2"/>
      <charset val="238"/>
    </font>
    <font>
      <sz val="10"/>
      <name val="Arial"/>
      <family val="2"/>
      <charset val="238"/>
    </font>
    <font>
      <sz val="8"/>
      <name val="Calibri"/>
      <family val="2"/>
      <charset val="238"/>
    </font>
    <font>
      <b/>
      <sz val="8"/>
      <name val="Calibri"/>
      <family val="2"/>
      <charset val="238"/>
    </font>
    <font>
      <sz val="9"/>
      <name val="Calibri"/>
      <family val="2"/>
      <charset val="238"/>
    </font>
    <font>
      <b/>
      <sz val="9"/>
      <name val="Calibri"/>
      <family val="2"/>
      <charset val="238"/>
    </font>
    <font>
      <b/>
      <i/>
      <sz val="9"/>
      <name val="Calibri"/>
      <family val="2"/>
      <charset val="238"/>
    </font>
    <font>
      <b/>
      <i/>
      <sz val="8"/>
      <name val="Calibri"/>
      <family val="2"/>
      <charset val="238"/>
    </font>
    <font>
      <i/>
      <sz val="8"/>
      <name val="Calibri"/>
      <family val="2"/>
      <charset val="238"/>
    </font>
    <font>
      <i/>
      <sz val="10"/>
      <name val="Calibri"/>
      <family val="2"/>
      <charset val="238"/>
    </font>
    <font>
      <b/>
      <i/>
      <sz val="10"/>
      <name val="Calibri"/>
      <family val="2"/>
      <charset val="238"/>
    </font>
    <font>
      <sz val="9"/>
      <name val="Calibri"/>
      <family val="2"/>
      <charset val="238"/>
      <scheme val="minor"/>
    </font>
    <font>
      <b/>
      <sz val="20"/>
      <color theme="0"/>
      <name val="Calibri"/>
      <family val="2"/>
      <charset val="238"/>
    </font>
    <font>
      <sz val="10"/>
      <name val="Calibri"/>
      <family val="2"/>
      <charset val="238"/>
    </font>
    <font>
      <b/>
      <sz val="10"/>
      <name val="Calibri"/>
      <family val="2"/>
      <charset val="238"/>
    </font>
    <font>
      <b/>
      <sz val="10"/>
      <name val="Calibri"/>
      <family val="2"/>
      <charset val="238"/>
      <scheme val="minor"/>
    </font>
    <font>
      <vertAlign val="superscript"/>
      <sz val="9"/>
      <name val="Calibri"/>
      <family val="2"/>
      <charset val="238"/>
      <scheme val="minor"/>
    </font>
    <font>
      <sz val="10"/>
      <name val="Calibri"/>
      <family val="2"/>
      <charset val="238"/>
      <scheme val="minor"/>
    </font>
    <font>
      <b/>
      <i/>
      <sz val="10"/>
      <name val="Calibri"/>
      <family val="2"/>
      <charset val="238"/>
      <scheme val="minor"/>
    </font>
    <font>
      <b/>
      <sz val="9"/>
      <color theme="0"/>
      <name val="Calibri"/>
      <family val="2"/>
      <charset val="238"/>
      <scheme val="minor"/>
    </font>
    <font>
      <b/>
      <sz val="14"/>
      <color theme="0"/>
      <name val="Calibri"/>
      <family val="2"/>
      <charset val="238"/>
      <scheme val="minor"/>
    </font>
    <font>
      <b/>
      <sz val="14"/>
      <color theme="0"/>
      <name val="Calibri"/>
      <family val="2"/>
      <charset val="238"/>
    </font>
    <font>
      <sz val="9"/>
      <color theme="0" tint="-0.34998626667073579"/>
      <name val="Calibri"/>
      <family val="2"/>
      <charset val="238"/>
      <scheme val="minor"/>
    </font>
    <font>
      <i/>
      <sz val="9"/>
      <name val="Calibri"/>
      <family val="2"/>
      <charset val="238"/>
      <scheme val="minor"/>
    </font>
    <font>
      <i/>
      <vertAlign val="superscript"/>
      <sz val="9"/>
      <name val="Calibri"/>
      <family val="2"/>
      <charset val="238"/>
      <scheme val="minor"/>
    </font>
    <font>
      <i/>
      <u/>
      <sz val="9"/>
      <name val="Calibri"/>
      <family val="2"/>
      <charset val="238"/>
      <scheme val="minor"/>
    </font>
    <font>
      <i/>
      <u/>
      <vertAlign val="superscript"/>
      <sz val="9"/>
      <name val="Calibri"/>
      <family val="2"/>
      <charset val="238"/>
      <scheme val="minor"/>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bgColor rgb="FFFFFFFF"/>
      </patternFill>
    </fill>
    <fill>
      <patternFill patternType="solid">
        <fgColor theme="0" tint="-0.14999847407452621"/>
        <bgColor indexed="31"/>
      </patternFill>
    </fill>
    <fill>
      <patternFill patternType="solid">
        <fgColor rgb="FF00B050"/>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auto="1"/>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s>
  <cellStyleXfs count="6">
    <xf numFmtId="0" fontId="0" fillId="0" borderId="0"/>
    <xf numFmtId="164" fontId="3" fillId="0" borderId="0"/>
    <xf numFmtId="0" fontId="3" fillId="0" borderId="0"/>
    <xf numFmtId="0" fontId="3" fillId="0" borderId="0"/>
    <xf numFmtId="0" fontId="3" fillId="0" borderId="0"/>
    <xf numFmtId="0" fontId="3" fillId="0" borderId="0">
      <alignment vertical="center"/>
    </xf>
  </cellStyleXfs>
  <cellXfs count="144">
    <xf numFmtId="0" fontId="0" fillId="0" borderId="0" xfId="0"/>
    <xf numFmtId="0" fontId="1" fillId="0" borderId="0" xfId="2" applyFont="1"/>
    <xf numFmtId="0" fontId="2" fillId="0" borderId="0" xfId="2" applyFont="1"/>
    <xf numFmtId="0" fontId="3" fillId="0" borderId="0" xfId="2"/>
    <xf numFmtId="0" fontId="4" fillId="0" borderId="0" xfId="2" applyFont="1"/>
    <xf numFmtId="0" fontId="6" fillId="0" borderId="0" xfId="2" applyFont="1" applyAlignment="1">
      <alignment vertical="center"/>
    </xf>
    <xf numFmtId="0" fontId="5" fillId="0" borderId="0" xfId="2" applyFont="1" applyAlignment="1">
      <alignment vertical="center"/>
    </xf>
    <xf numFmtId="0" fontId="7" fillId="0" borderId="0" xfId="2" applyFont="1" applyAlignment="1">
      <alignment vertical="center"/>
    </xf>
    <xf numFmtId="0" fontId="9" fillId="0" borderId="0" xfId="2" applyFont="1" applyAlignment="1">
      <alignment horizontal="center" vertical="center"/>
    </xf>
    <xf numFmtId="0" fontId="8" fillId="0" borderId="0" xfId="2" applyFont="1" applyAlignment="1">
      <alignment horizontal="center" vertical="center"/>
    </xf>
    <xf numFmtId="0" fontId="5" fillId="0" borderId="0" xfId="2" applyFont="1"/>
    <xf numFmtId="0" fontId="12" fillId="2" borderId="1" xfId="2" applyFont="1" applyFill="1" applyBorder="1" applyAlignment="1">
      <alignment vertical="center"/>
    </xf>
    <xf numFmtId="169" fontId="1" fillId="0" borderId="0" xfId="2" applyNumberFormat="1" applyFont="1"/>
    <xf numFmtId="0" fontId="12" fillId="2" borderId="12" xfId="2" applyFont="1" applyFill="1" applyBorder="1" applyAlignment="1">
      <alignment horizontal="right" vertical="center"/>
    </xf>
    <xf numFmtId="0" fontId="15" fillId="2" borderId="6" xfId="2" applyFont="1" applyFill="1" applyBorder="1" applyAlignment="1">
      <alignment vertical="center"/>
    </xf>
    <xf numFmtId="0" fontId="15" fillId="2" borderId="7" xfId="2" applyFont="1" applyFill="1" applyBorder="1" applyAlignment="1">
      <alignment vertical="center"/>
    </xf>
    <xf numFmtId="0" fontId="15" fillId="2" borderId="8" xfId="2" applyFont="1" applyFill="1" applyBorder="1" applyAlignment="1">
      <alignment vertical="center"/>
    </xf>
    <xf numFmtId="0" fontId="15" fillId="2" borderId="12" xfId="2" applyFont="1" applyFill="1" applyBorder="1" applyAlignment="1">
      <alignment horizontal="left" vertical="center" wrapText="1"/>
    </xf>
    <xf numFmtId="169" fontId="15" fillId="2" borderId="9" xfId="2" applyNumberFormat="1" applyFont="1" applyFill="1" applyBorder="1" applyAlignment="1">
      <alignment vertical="center"/>
    </xf>
    <xf numFmtId="0" fontId="15" fillId="2" borderId="12" xfId="2" applyFont="1" applyFill="1" applyBorder="1" applyAlignment="1">
      <alignment vertical="center" wrapText="1"/>
    </xf>
    <xf numFmtId="0" fontId="15" fillId="2" borderId="5" xfId="2" applyFont="1" applyFill="1" applyBorder="1" applyAlignment="1">
      <alignment vertical="center"/>
    </xf>
    <xf numFmtId="0" fontId="15" fillId="2" borderId="3" xfId="2" applyFont="1" applyFill="1" applyBorder="1" applyAlignment="1">
      <alignment vertical="center"/>
    </xf>
    <xf numFmtId="0" fontId="12" fillId="2" borderId="17" xfId="2" applyFont="1" applyFill="1" applyBorder="1" applyAlignment="1">
      <alignment vertical="center"/>
    </xf>
    <xf numFmtId="165" fontId="16" fillId="2" borderId="18" xfId="2" applyNumberFormat="1" applyFont="1" applyFill="1" applyBorder="1" applyAlignment="1">
      <alignment horizontal="right" vertical="center"/>
    </xf>
    <xf numFmtId="0" fontId="12" fillId="2" borderId="13" xfId="2" applyFont="1" applyFill="1" applyBorder="1" applyAlignment="1">
      <alignment vertical="center"/>
    </xf>
    <xf numFmtId="165" fontId="16" fillId="2" borderId="14" xfId="2" applyNumberFormat="1" applyFont="1" applyFill="1" applyBorder="1" applyAlignment="1">
      <alignment horizontal="right" vertical="center"/>
    </xf>
    <xf numFmtId="0" fontId="15" fillId="2" borderId="6" xfId="2" applyFont="1" applyFill="1" applyBorder="1"/>
    <xf numFmtId="0" fontId="15" fillId="2" borderId="8" xfId="2" applyFont="1" applyFill="1" applyBorder="1"/>
    <xf numFmtId="169" fontId="15" fillId="2" borderId="0" xfId="2" applyNumberFormat="1" applyFont="1" applyFill="1" applyAlignment="1">
      <alignment vertical="center"/>
    </xf>
    <xf numFmtId="169" fontId="16" fillId="2" borderId="10" xfId="2" applyNumberFormat="1" applyFont="1" applyFill="1" applyBorder="1" applyAlignment="1">
      <alignment vertical="center"/>
    </xf>
    <xf numFmtId="0" fontId="13" fillId="0" borderId="0" xfId="2" applyFont="1" applyAlignment="1">
      <alignment horizontal="center"/>
    </xf>
    <xf numFmtId="0" fontId="13" fillId="0" borderId="0" xfId="2" applyFont="1"/>
    <xf numFmtId="2" fontId="13" fillId="0" borderId="0" xfId="2" applyNumberFormat="1" applyFont="1"/>
    <xf numFmtId="0" fontId="20" fillId="0" borderId="20" xfId="2" applyFont="1" applyBorder="1" applyAlignment="1">
      <alignment horizontal="center" vertical="center" wrapText="1"/>
    </xf>
    <xf numFmtId="0" fontId="20" fillId="0" borderId="21" xfId="2" applyFont="1" applyBorder="1" applyAlignment="1">
      <alignment horizontal="center" vertical="center" wrapText="1"/>
    </xf>
    <xf numFmtId="2" fontId="20" fillId="0" borderId="21" xfId="2" applyNumberFormat="1" applyFont="1" applyBorder="1" applyAlignment="1">
      <alignment horizontal="center" vertical="center" wrapText="1"/>
    </xf>
    <xf numFmtId="2" fontId="20" fillId="0" borderId="22" xfId="2" applyNumberFormat="1" applyFont="1" applyBorder="1" applyAlignment="1">
      <alignment horizontal="center" vertical="center" wrapText="1"/>
    </xf>
    <xf numFmtId="0" fontId="13" fillId="0" borderId="0" xfId="2" applyFont="1" applyAlignment="1">
      <alignment horizontal="right"/>
    </xf>
    <xf numFmtId="2" fontId="17" fillId="3" borderId="1" xfId="2" applyNumberFormat="1" applyFont="1" applyFill="1" applyBorder="1" applyAlignment="1">
      <alignment vertical="center" wrapText="1"/>
    </xf>
    <xf numFmtId="166" fontId="17" fillId="3" borderId="2" xfId="2" applyNumberFormat="1" applyFont="1" applyFill="1" applyBorder="1" applyAlignment="1">
      <alignment horizontal="center" vertical="center" wrapText="1"/>
    </xf>
    <xf numFmtId="166" fontId="17" fillId="5" borderId="2" xfId="2" applyNumberFormat="1" applyFont="1" applyFill="1" applyBorder="1" applyAlignment="1">
      <alignment vertical="center" wrapText="1"/>
    </xf>
    <xf numFmtId="166" fontId="17" fillId="5" borderId="2" xfId="2" applyNumberFormat="1" applyFont="1" applyFill="1" applyBorder="1" applyAlignment="1">
      <alignment horizontal="center" vertical="center" wrapText="1"/>
    </xf>
    <xf numFmtId="166" fontId="17" fillId="3" borderId="2" xfId="2" applyNumberFormat="1" applyFont="1" applyFill="1" applyBorder="1" applyAlignment="1">
      <alignment vertical="center" wrapText="1"/>
    </xf>
    <xf numFmtId="166" fontId="17" fillId="3" borderId="1" xfId="2" applyNumberFormat="1" applyFont="1" applyFill="1" applyBorder="1" applyAlignment="1">
      <alignment horizontal="center" vertical="center" wrapText="1"/>
    </xf>
    <xf numFmtId="2" fontId="19" fillId="3" borderId="2" xfId="2" applyNumberFormat="1" applyFont="1" applyFill="1" applyBorder="1"/>
    <xf numFmtId="0" fontId="21" fillId="6" borderId="3" xfId="2" applyFont="1" applyFill="1" applyBorder="1" applyAlignment="1">
      <alignment vertical="center"/>
    </xf>
    <xf numFmtId="0" fontId="21" fillId="6" borderId="4" xfId="2" applyFont="1" applyFill="1" applyBorder="1" applyAlignment="1">
      <alignment vertical="center"/>
    </xf>
    <xf numFmtId="0" fontId="23" fillId="6" borderId="1" xfId="2" applyFont="1" applyFill="1" applyBorder="1" applyAlignment="1">
      <alignment vertical="center"/>
    </xf>
    <xf numFmtId="0" fontId="23" fillId="6" borderId="2" xfId="2" applyFont="1" applyFill="1" applyBorder="1" applyAlignment="1">
      <alignment vertical="center"/>
    </xf>
    <xf numFmtId="0" fontId="23" fillId="6" borderId="10" xfId="2" applyFont="1" applyFill="1" applyBorder="1" applyAlignment="1">
      <alignment vertical="center"/>
    </xf>
    <xf numFmtId="165" fontId="23" fillId="6" borderId="2" xfId="2" applyNumberFormat="1" applyFont="1" applyFill="1" applyBorder="1" applyAlignment="1">
      <alignment horizontal="right" vertical="center"/>
    </xf>
    <xf numFmtId="0" fontId="22" fillId="6" borderId="4" xfId="2" applyFont="1" applyFill="1" applyBorder="1" applyAlignment="1">
      <alignment horizontal="left" vertical="center"/>
    </xf>
    <xf numFmtId="0" fontId="13" fillId="0" borderId="0" xfId="2" applyFont="1" applyAlignment="1">
      <alignment vertical="center"/>
    </xf>
    <xf numFmtId="168" fontId="17" fillId="3" borderId="2" xfId="2" applyNumberFormat="1" applyFont="1" applyFill="1" applyBorder="1" applyAlignment="1">
      <alignment horizontal="center" vertical="center" wrapText="1"/>
    </xf>
    <xf numFmtId="0" fontId="13" fillId="0" borderId="0" xfId="2" applyFont="1" applyAlignment="1">
      <alignment horizontal="center" vertical="center"/>
    </xf>
    <xf numFmtId="0" fontId="24" fillId="0" borderId="0" xfId="2" applyFont="1" applyAlignment="1">
      <alignment horizontal="center" vertical="center"/>
    </xf>
    <xf numFmtId="0" fontId="13" fillId="0" borderId="0" xfId="2" applyFont="1" applyAlignment="1">
      <alignment horizontal="left" vertical="center"/>
    </xf>
    <xf numFmtId="0" fontId="13" fillId="0" borderId="12" xfId="4" applyFont="1" applyBorder="1" applyAlignment="1">
      <alignment horizontal="center" vertical="center"/>
    </xf>
    <xf numFmtId="0" fontId="13" fillId="0" borderId="6" xfId="4" applyFont="1" applyBorder="1" applyAlignment="1">
      <alignment horizontal="center" vertical="center"/>
    </xf>
    <xf numFmtId="0" fontId="13" fillId="0" borderId="7" xfId="2" applyFont="1" applyBorder="1" applyAlignment="1">
      <alignment horizontal="center" vertical="center"/>
    </xf>
    <xf numFmtId="171" fontId="13" fillId="0" borderId="7" xfId="2" applyNumberFormat="1" applyFont="1" applyBorder="1" applyAlignment="1">
      <alignment vertical="center" wrapText="1"/>
    </xf>
    <xf numFmtId="0" fontId="13" fillId="0" borderId="20" xfId="4" applyFont="1" applyBorder="1" applyAlignment="1">
      <alignment horizontal="center" vertical="center"/>
    </xf>
    <xf numFmtId="0" fontId="13" fillId="0" borderId="21" xfId="2" applyFont="1" applyBorder="1" applyAlignment="1">
      <alignment horizontal="center" vertical="center" wrapText="1"/>
    </xf>
    <xf numFmtId="49" fontId="13" fillId="0" borderId="21" xfId="2" applyNumberFormat="1" applyFont="1" applyBorder="1" applyAlignment="1">
      <alignment horizontal="center" vertical="center" wrapText="1"/>
    </xf>
    <xf numFmtId="49" fontId="13" fillId="4" borderId="21" xfId="0" applyNumberFormat="1" applyFont="1" applyFill="1" applyBorder="1" applyAlignment="1">
      <alignment horizontal="center" vertical="center"/>
    </xf>
    <xf numFmtId="0" fontId="25" fillId="0" borderId="19" xfId="2" applyFont="1" applyBorder="1" applyAlignment="1">
      <alignment vertical="center" wrapText="1"/>
    </xf>
    <xf numFmtId="0" fontId="25" fillId="0" borderId="24" xfId="2" applyFont="1" applyBorder="1" applyAlignment="1">
      <alignment vertical="center" wrapText="1"/>
    </xf>
    <xf numFmtId="0" fontId="14" fillId="6" borderId="1" xfId="2" applyFont="1" applyFill="1" applyBorder="1" applyAlignment="1">
      <alignment vertical="center"/>
    </xf>
    <xf numFmtId="0" fontId="21" fillId="6" borderId="5" xfId="2" applyFont="1" applyFill="1" applyBorder="1" applyAlignment="1">
      <alignment vertical="center"/>
    </xf>
    <xf numFmtId="167" fontId="17" fillId="5" borderId="10" xfId="2" applyNumberFormat="1" applyFont="1" applyFill="1" applyBorder="1" applyAlignment="1">
      <alignment vertical="center" wrapText="1"/>
    </xf>
    <xf numFmtId="168" fontId="13" fillId="0" borderId="22" xfId="2" applyNumberFormat="1" applyFont="1" applyBorder="1" applyAlignment="1">
      <alignment vertical="center" wrapText="1"/>
    </xf>
    <xf numFmtId="171" fontId="13" fillId="0" borderId="0" xfId="2" applyNumberFormat="1" applyFont="1" applyAlignment="1">
      <alignment vertical="center" wrapText="1"/>
    </xf>
    <xf numFmtId="168" fontId="13" fillId="0" borderId="9" xfId="2" applyNumberFormat="1" applyFont="1" applyBorder="1" applyAlignment="1">
      <alignment vertical="center" wrapText="1"/>
    </xf>
    <xf numFmtId="168" fontId="13" fillId="0" borderId="8" xfId="2" applyNumberFormat="1" applyFont="1" applyBorder="1" applyAlignment="1">
      <alignment vertical="center" wrapText="1"/>
    </xf>
    <xf numFmtId="167" fontId="17" fillId="3" borderId="10" xfId="2" applyNumberFormat="1" applyFont="1" applyFill="1" applyBorder="1" applyAlignment="1">
      <alignment vertical="center" wrapText="1"/>
    </xf>
    <xf numFmtId="170" fontId="13" fillId="0" borderId="21" xfId="4" applyNumberFormat="1" applyFont="1" applyBorder="1" applyAlignment="1">
      <alignment horizontal="center" vertical="center" wrapText="1"/>
    </xf>
    <xf numFmtId="170" fontId="13" fillId="0" borderId="21" xfId="0" applyNumberFormat="1" applyFont="1" applyBorder="1" applyAlignment="1">
      <alignment horizontal="center" vertical="center" wrapText="1"/>
    </xf>
    <xf numFmtId="166" fontId="13" fillId="0" borderId="21" xfId="2" applyNumberFormat="1" applyFont="1" applyBorder="1" applyAlignment="1">
      <alignment vertical="center" wrapText="1"/>
    </xf>
    <xf numFmtId="0" fontId="13" fillId="0" borderId="21" xfId="0" applyFont="1" applyBorder="1" applyAlignment="1">
      <alignment vertical="center"/>
    </xf>
    <xf numFmtId="0" fontId="12" fillId="2" borderId="12" xfId="2" applyFont="1" applyFill="1" applyBorder="1" applyAlignment="1">
      <alignment horizontal="right" vertical="top"/>
    </xf>
    <xf numFmtId="0" fontId="13" fillId="0" borderId="21" xfId="0" applyFont="1" applyBorder="1" applyAlignment="1">
      <alignment horizontal="center" vertical="center"/>
    </xf>
    <xf numFmtId="0" fontId="13" fillId="0" borderId="21" xfId="2" applyFont="1" applyBorder="1" applyAlignment="1">
      <alignment horizontal="center" vertical="center"/>
    </xf>
    <xf numFmtId="0" fontId="13" fillId="0" borderId="21" xfId="2" applyFont="1" applyBorder="1" applyAlignment="1">
      <alignment vertical="center" wrapText="1"/>
    </xf>
    <xf numFmtId="0" fontId="13" fillId="0" borderId="21" xfId="0" applyFont="1" applyBorder="1" applyAlignment="1" applyProtection="1">
      <alignment horizontal="center" vertical="center"/>
      <protection locked="0"/>
    </xf>
    <xf numFmtId="4" fontId="13" fillId="0" borderId="21" xfId="2" applyNumberFormat="1" applyFont="1" applyBorder="1" applyAlignment="1">
      <alignment horizontal="center" vertical="center" wrapText="1"/>
    </xf>
    <xf numFmtId="171" fontId="13" fillId="0" borderId="0" xfId="2" applyNumberFormat="1" applyFont="1" applyAlignment="1">
      <alignment vertical="center"/>
    </xf>
    <xf numFmtId="0" fontId="25" fillId="0" borderId="23" xfId="2" applyFont="1" applyBorder="1" applyAlignment="1">
      <alignment vertical="center" wrapText="1"/>
    </xf>
    <xf numFmtId="0" fontId="13" fillId="0" borderId="25" xfId="2" applyFont="1" applyBorder="1" applyAlignment="1">
      <alignment horizontal="left" vertical="center" wrapText="1"/>
    </xf>
    <xf numFmtId="0" fontId="13" fillId="0" borderId="21" xfId="2" applyFont="1" applyBorder="1" applyAlignment="1">
      <alignment horizontal="left" vertical="center" wrapText="1"/>
    </xf>
    <xf numFmtId="4" fontId="13" fillId="0" borderId="0" xfId="2" applyNumberFormat="1" applyFont="1" applyAlignment="1">
      <alignment vertical="center" wrapText="1"/>
    </xf>
    <xf numFmtId="4" fontId="13" fillId="0" borderId="0" xfId="2" applyNumberFormat="1" applyFont="1" applyAlignment="1">
      <alignment horizontal="center" vertical="center" wrapText="1"/>
    </xf>
    <xf numFmtId="172" fontId="13" fillId="0" borderId="0" xfId="2" applyNumberFormat="1" applyFont="1" applyAlignment="1">
      <alignment vertical="center" wrapText="1"/>
    </xf>
    <xf numFmtId="4" fontId="13" fillId="0" borderId="7" xfId="2" applyNumberFormat="1" applyFont="1" applyBorder="1" applyAlignment="1">
      <alignment horizontal="center" vertical="center" wrapText="1"/>
    </xf>
    <xf numFmtId="0" fontId="25" fillId="0" borderId="26" xfId="2" applyFont="1" applyBorder="1" applyAlignment="1">
      <alignment vertical="center" wrapText="1"/>
    </xf>
    <xf numFmtId="0" fontId="25" fillId="0" borderId="27" xfId="2" applyFont="1" applyBorder="1" applyAlignment="1">
      <alignment vertical="center" wrapText="1"/>
    </xf>
    <xf numFmtId="0" fontId="13" fillId="0" borderId="21" xfId="5" applyFont="1" applyBorder="1" applyAlignment="1" applyProtection="1">
      <alignment vertical="center" wrapText="1"/>
      <protection locked="0"/>
    </xf>
    <xf numFmtId="0" fontId="6" fillId="0" borderId="25" xfId="2" applyFont="1" applyBorder="1" applyAlignment="1">
      <alignment horizontal="center" vertical="center"/>
    </xf>
    <xf numFmtId="0" fontId="6" fillId="0" borderId="21" xfId="2" applyFont="1" applyBorder="1" applyAlignment="1">
      <alignment horizontal="left" vertical="center" wrapText="1"/>
    </xf>
    <xf numFmtId="4" fontId="13" fillId="0" borderId="21" xfId="4" applyNumberFormat="1" applyFont="1" applyBorder="1" applyAlignment="1">
      <alignment horizontal="center" vertical="center" wrapText="1"/>
    </xf>
    <xf numFmtId="171" fontId="13" fillId="0" borderId="0" xfId="2" applyNumberFormat="1" applyFont="1" applyAlignment="1">
      <alignment horizontal="center" vertical="center" wrapText="1"/>
    </xf>
    <xf numFmtId="171" fontId="13" fillId="0" borderId="7" xfId="2" applyNumberFormat="1" applyFont="1" applyBorder="1" applyAlignment="1">
      <alignment horizontal="center" vertical="center" wrapText="1"/>
    </xf>
    <xf numFmtId="0" fontId="13" fillId="0" borderId="21" xfId="4" applyFont="1" applyBorder="1" applyAlignment="1">
      <alignment horizontal="center" vertical="center" wrapText="1"/>
    </xf>
    <xf numFmtId="0" fontId="22" fillId="6" borderId="2" xfId="2" applyFont="1" applyFill="1" applyBorder="1" applyAlignment="1">
      <alignment horizontal="left" vertical="center"/>
    </xf>
    <xf numFmtId="0" fontId="22" fillId="6" borderId="10" xfId="2" applyFont="1" applyFill="1" applyBorder="1" applyAlignment="1">
      <alignment horizontal="left" vertical="center"/>
    </xf>
    <xf numFmtId="0" fontId="4" fillId="0" borderId="0" xfId="2" applyFont="1" applyAlignment="1">
      <alignment horizontal="right"/>
    </xf>
    <xf numFmtId="0" fontId="10" fillId="0" borderId="0" xfId="2" applyFont="1" applyAlignment="1">
      <alignment horizontal="right"/>
    </xf>
    <xf numFmtId="0" fontId="15" fillId="2" borderId="0" xfId="2" applyFont="1" applyFill="1" applyAlignment="1">
      <alignment horizontal="left" vertical="center"/>
    </xf>
    <xf numFmtId="0" fontId="15" fillId="2" borderId="9" xfId="2" applyFont="1" applyFill="1" applyBorder="1" applyAlignment="1">
      <alignment horizontal="left" vertical="center"/>
    </xf>
    <xf numFmtId="0" fontId="15" fillId="2" borderId="0" xfId="2" applyFont="1" applyFill="1" applyAlignment="1">
      <alignment horizontal="left" vertical="top" wrapText="1"/>
    </xf>
    <xf numFmtId="0" fontId="15" fillId="2" borderId="9" xfId="2" applyFont="1" applyFill="1" applyBorder="1" applyAlignment="1">
      <alignment horizontal="left" vertical="top" wrapText="1"/>
    </xf>
    <xf numFmtId="0" fontId="12" fillId="2" borderId="13" xfId="2" applyFont="1" applyFill="1" applyBorder="1" applyAlignment="1">
      <alignment horizontal="left" vertical="center"/>
    </xf>
    <xf numFmtId="0" fontId="12" fillId="2" borderId="11" xfId="2" applyFont="1" applyFill="1" applyBorder="1" applyAlignment="1">
      <alignment horizontal="left" vertical="center"/>
    </xf>
    <xf numFmtId="0" fontId="12" fillId="2" borderId="15" xfId="2" applyFont="1" applyFill="1" applyBorder="1" applyAlignment="1">
      <alignment horizontal="left" vertical="center"/>
    </xf>
    <xf numFmtId="0" fontId="12" fillId="2" borderId="16" xfId="2" applyFont="1" applyFill="1" applyBorder="1" applyAlignment="1">
      <alignment horizontal="left" vertical="center"/>
    </xf>
    <xf numFmtId="0" fontId="15" fillId="2" borderId="0" xfId="2" applyFont="1" applyFill="1" applyAlignment="1">
      <alignment horizontal="left" vertical="center" wrapText="1"/>
    </xf>
    <xf numFmtId="0" fontId="15" fillId="2" borderId="9" xfId="2" applyFont="1" applyFill="1" applyBorder="1" applyAlignment="1">
      <alignment horizontal="left" vertical="center" wrapText="1"/>
    </xf>
    <xf numFmtId="168" fontId="13" fillId="0" borderId="21" xfId="2" applyNumberFormat="1" applyFont="1" applyBorder="1" applyAlignment="1" applyProtection="1">
      <alignment vertical="center" wrapText="1"/>
      <protection locked="0" hidden="1"/>
    </xf>
    <xf numFmtId="168" fontId="13" fillId="0" borderId="0" xfId="2" applyNumberFormat="1" applyFont="1" applyAlignment="1" applyProtection="1">
      <alignment vertical="center" wrapText="1"/>
      <protection locked="0" hidden="1"/>
    </xf>
    <xf numFmtId="168" fontId="13" fillId="0" borderId="7" xfId="2" applyNumberFormat="1" applyFont="1" applyBorder="1" applyAlignment="1" applyProtection="1">
      <alignment vertical="center" wrapText="1"/>
      <protection locked="0" hidden="1"/>
    </xf>
    <xf numFmtId="168" fontId="13" fillId="0" borderId="0" xfId="2" applyNumberFormat="1" applyFont="1" applyAlignment="1" applyProtection="1">
      <alignment horizontal="center" vertical="center" wrapText="1"/>
      <protection locked="0" hidden="1"/>
    </xf>
    <xf numFmtId="168" fontId="13" fillId="0" borderId="7" xfId="2" applyNumberFormat="1" applyFont="1" applyBorder="1" applyAlignment="1" applyProtection="1">
      <alignment horizontal="center" vertical="center" wrapText="1"/>
      <protection locked="0" hidden="1"/>
    </xf>
    <xf numFmtId="168" fontId="13" fillId="0" borderId="21" xfId="0" applyNumberFormat="1" applyFont="1" applyBorder="1" applyAlignment="1" applyProtection="1">
      <alignment vertical="center" wrapText="1"/>
      <protection locked="0" hidden="1"/>
    </xf>
    <xf numFmtId="168" fontId="13" fillId="0" borderId="21" xfId="2" applyNumberFormat="1" applyFont="1" applyBorder="1" applyAlignment="1" applyProtection="1">
      <alignment vertical="top" wrapText="1"/>
      <protection locked="0" hidden="1"/>
    </xf>
    <xf numFmtId="168" fontId="13" fillId="4" borderId="21" xfId="0" applyNumberFormat="1" applyFont="1" applyFill="1" applyBorder="1" applyAlignment="1" applyProtection="1">
      <alignment vertical="center" wrapText="1"/>
      <protection locked="0" hidden="1"/>
    </xf>
    <xf numFmtId="0" fontId="13" fillId="0" borderId="21" xfId="2" applyFont="1" applyBorder="1" applyAlignment="1" applyProtection="1">
      <alignment horizontal="center" vertical="center" wrapText="1"/>
      <protection locked="0"/>
    </xf>
    <xf numFmtId="0" fontId="13" fillId="0" borderId="0" xfId="2" applyFont="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5" fillId="2" borderId="0" xfId="2" applyFont="1" applyFill="1" applyAlignment="1" applyProtection="1">
      <alignment horizontal="left" vertical="center"/>
      <protection locked="0"/>
    </xf>
    <xf numFmtId="0" fontId="15" fillId="2" borderId="9" xfId="2" applyFont="1" applyFill="1" applyBorder="1" applyAlignment="1" applyProtection="1">
      <alignment horizontal="left" vertical="center"/>
      <protection locked="0"/>
    </xf>
    <xf numFmtId="14" fontId="15" fillId="2" borderId="0" xfId="2" applyNumberFormat="1" applyFont="1" applyFill="1" applyAlignment="1" applyProtection="1">
      <alignment horizontal="left" vertical="center"/>
      <protection locked="0"/>
    </xf>
    <xf numFmtId="0" fontId="16" fillId="2" borderId="0" xfId="2" applyFont="1" applyFill="1" applyAlignment="1" applyProtection="1">
      <alignment vertical="center"/>
      <protection locked="0"/>
    </xf>
    <xf numFmtId="0" fontId="15" fillId="2" borderId="9" xfId="2" applyFont="1" applyFill="1" applyBorder="1" applyAlignment="1" applyProtection="1">
      <alignment vertical="center"/>
      <protection locked="0"/>
    </xf>
    <xf numFmtId="0" fontId="12" fillId="2" borderId="3" xfId="2" applyFont="1" applyFill="1" applyBorder="1" applyAlignment="1" applyProtection="1">
      <alignment vertical="center"/>
      <protection locked="0"/>
    </xf>
    <xf numFmtId="0" fontId="15" fillId="2" borderId="5" xfId="2" applyFont="1" applyFill="1" applyBorder="1" applyAlignment="1" applyProtection="1">
      <alignment vertical="center"/>
      <protection locked="0"/>
    </xf>
    <xf numFmtId="0" fontId="11" fillId="2" borderId="12" xfId="2" applyFont="1" applyFill="1" applyBorder="1" applyAlignment="1" applyProtection="1">
      <alignment vertical="center"/>
      <protection locked="0"/>
    </xf>
    <xf numFmtId="0" fontId="11" fillId="2" borderId="6" xfId="2" applyFont="1" applyFill="1" applyBorder="1" applyAlignment="1" applyProtection="1">
      <alignment vertical="center"/>
      <protection locked="0"/>
    </xf>
    <xf numFmtId="0" fontId="15" fillId="2" borderId="8" xfId="2" applyFont="1" applyFill="1" applyBorder="1" applyAlignment="1" applyProtection="1">
      <alignment vertical="center"/>
      <protection locked="0"/>
    </xf>
    <xf numFmtId="0" fontId="16" fillId="2" borderId="5" xfId="2" applyFont="1" applyFill="1" applyBorder="1" applyAlignment="1" applyProtection="1">
      <alignment vertical="center"/>
      <protection locked="0"/>
    </xf>
    <xf numFmtId="0" fontId="15" fillId="2" borderId="9" xfId="2" applyFont="1" applyFill="1" applyBorder="1" applyProtection="1">
      <protection locked="0"/>
    </xf>
    <xf numFmtId="14" fontId="15" fillId="2" borderId="9" xfId="2" applyNumberFormat="1" applyFont="1" applyFill="1" applyBorder="1" applyAlignment="1" applyProtection="1">
      <alignment horizontal="left" vertical="center"/>
      <protection locked="0"/>
    </xf>
    <xf numFmtId="0" fontId="6" fillId="2" borderId="0" xfId="2" applyFont="1" applyFill="1" applyAlignment="1" applyProtection="1">
      <alignment horizontal="center" vertical="center"/>
      <protection locked="0"/>
    </xf>
    <xf numFmtId="0" fontId="6" fillId="2" borderId="9" xfId="2" applyFont="1" applyFill="1" applyBorder="1" applyAlignment="1" applyProtection="1">
      <alignment horizontal="center" vertical="center"/>
      <protection locked="0"/>
    </xf>
    <xf numFmtId="0" fontId="6" fillId="2" borderId="6" xfId="2" applyFont="1" applyFill="1" applyBorder="1" applyAlignment="1" applyProtection="1">
      <alignment horizontal="center" vertical="center"/>
      <protection locked="0"/>
    </xf>
    <xf numFmtId="0" fontId="6" fillId="2" borderId="8" xfId="2" applyFont="1" applyFill="1" applyBorder="1" applyAlignment="1" applyProtection="1">
      <alignment horizontal="center" vertical="center"/>
      <protection locked="0"/>
    </xf>
  </cellXfs>
  <cellStyles count="6">
    <cellStyle name="Excel Built-in Currency" xfId="1"/>
    <cellStyle name="Excel Built-in Normal" xfId="2"/>
    <cellStyle name="Excel Built-in Normal 2" xfId="3"/>
    <cellStyle name="Normální" xfId="0" builtinId="0"/>
    <cellStyle name="Normální 3 27" xfId="5"/>
    <cellStyle name="TableStyleLight1"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8F8F8"/>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A3A3"/>
      <color rgb="FFA3FFA3"/>
      <color rgb="FFFF9797"/>
      <color rgb="FF2DA84C"/>
      <color rgb="FFD60000"/>
      <color rgb="FFF8F8F8"/>
      <color rgb="FFA2D9FF"/>
      <color rgb="FF118EC8"/>
      <color rgb="FF0E65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8F8F8"/>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8F8F8"/>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abSelected="1" zoomScaleNormal="100" workbookViewId="0">
      <selection activeCell="I14" sqref="I14"/>
    </sheetView>
  </sheetViews>
  <sheetFormatPr defaultRowHeight="11.25" customHeight="1" x14ac:dyDescent="0.2"/>
  <cols>
    <col min="1" max="1" width="52.7109375" style="1" customWidth="1"/>
    <col min="2" max="2" width="16.7109375" style="1" customWidth="1"/>
    <col min="3" max="3" width="52.7109375" style="1" customWidth="1"/>
    <col min="4" max="4" width="16.7109375" style="1" customWidth="1"/>
    <col min="5" max="16384" width="9.140625" style="1"/>
  </cols>
  <sheetData>
    <row r="1" spans="1:11" ht="2.1" customHeight="1" thickBot="1" x14ac:dyDescent="0.25"/>
    <row r="2" spans="1:11" ht="27.95" customHeight="1" thickBot="1" x14ac:dyDescent="0.25">
      <c r="A2" s="67"/>
      <c r="B2" s="102" t="s">
        <v>65</v>
      </c>
      <c r="C2" s="102"/>
      <c r="D2" s="103"/>
    </row>
    <row r="3" spans="1:11" ht="6" customHeight="1" x14ac:dyDescent="0.2">
      <c r="A3" s="13"/>
      <c r="B3" s="114"/>
      <c r="C3" s="114"/>
      <c r="D3" s="115"/>
    </row>
    <row r="4" spans="1:11" ht="15" customHeight="1" x14ac:dyDescent="0.2">
      <c r="A4" s="79" t="s">
        <v>17</v>
      </c>
      <c r="B4" s="108" t="s">
        <v>126</v>
      </c>
      <c r="C4" s="108"/>
      <c r="D4" s="109"/>
    </row>
    <row r="5" spans="1:11" ht="15" customHeight="1" x14ac:dyDescent="0.2">
      <c r="A5" s="13" t="s">
        <v>79</v>
      </c>
      <c r="B5" s="106" t="s">
        <v>127</v>
      </c>
      <c r="C5" s="106"/>
      <c r="D5" s="107"/>
    </row>
    <row r="6" spans="1:11" ht="15" customHeight="1" x14ac:dyDescent="0.2">
      <c r="A6" s="13" t="s">
        <v>10</v>
      </c>
      <c r="B6" s="127"/>
      <c r="C6" s="127"/>
      <c r="D6" s="128"/>
    </row>
    <row r="7" spans="1:11" ht="15" customHeight="1" x14ac:dyDescent="0.2">
      <c r="A7" s="13" t="s">
        <v>0</v>
      </c>
      <c r="B7" s="129"/>
      <c r="C7" s="130"/>
      <c r="D7" s="131"/>
    </row>
    <row r="8" spans="1:11" ht="6" customHeight="1" thickBot="1" x14ac:dyDescent="0.25">
      <c r="A8" s="14"/>
      <c r="B8" s="15"/>
      <c r="C8" s="15"/>
      <c r="D8" s="16"/>
    </row>
    <row r="9" spans="1:11" ht="27.95" customHeight="1" thickBot="1" x14ac:dyDescent="0.25">
      <c r="A9" s="47"/>
      <c r="B9" s="48" t="s">
        <v>1</v>
      </c>
      <c r="C9" s="48"/>
      <c r="D9" s="49"/>
    </row>
    <row r="10" spans="1:11" ht="12" customHeight="1" x14ac:dyDescent="0.2">
      <c r="A10" s="110" t="s">
        <v>11</v>
      </c>
      <c r="B10" s="111"/>
      <c r="C10" s="112" t="s">
        <v>16</v>
      </c>
      <c r="D10" s="113"/>
    </row>
    <row r="11" spans="1:11" ht="27.95" customHeight="1" x14ac:dyDescent="0.2">
      <c r="A11" s="17" t="str">
        <f>'E Položkový rozpočet'!E4</f>
        <v>Přípravné a přidružené práce a dočasné zajištění staveniště</v>
      </c>
      <c r="B11" s="28">
        <f>'E Položkový rozpočet'!I4</f>
        <v>0</v>
      </c>
      <c r="C11" s="19" t="str">
        <f>'E Položkový rozpočet'!E129</f>
        <v>Geodetické práce před výstavbou</v>
      </c>
      <c r="D11" s="18">
        <f>'E Položkový rozpočet'!I129</f>
        <v>0</v>
      </c>
    </row>
    <row r="12" spans="1:11" ht="27.95" customHeight="1" x14ac:dyDescent="0.2">
      <c r="A12" s="17" t="str">
        <f>'E Položkový rozpočet'!E50</f>
        <v>Odstranění vegetace, očištění a odtěžení skalního svahu a obnova akumulačního prostoru</v>
      </c>
      <c r="B12" s="28">
        <f>'E Položkový rozpočet'!I50</f>
        <v>0</v>
      </c>
      <c r="C12" s="19" t="str">
        <f>'E Položkový rozpočet'!E132</f>
        <v>Geodetické práce po výstavbě</v>
      </c>
      <c r="D12" s="18">
        <f>'E Položkový rozpočet'!I132</f>
        <v>0</v>
      </c>
      <c r="H12" s="3"/>
      <c r="I12" s="3"/>
      <c r="J12" s="3"/>
      <c r="K12" s="3"/>
    </row>
    <row r="13" spans="1:11" ht="27.95" customHeight="1" x14ac:dyDescent="0.2">
      <c r="A13" s="17" t="str">
        <f>'E Položkový rozpočet'!E69</f>
        <v>Zajištění skalního svahu ocelovou sítí 80 x 100 mm</v>
      </c>
      <c r="B13" s="28">
        <f>'E Položkový rozpočet'!I69</f>
        <v>0</v>
      </c>
      <c r="C13" s="19" t="str">
        <f>'E Položkový rozpočet'!E135</f>
        <v>Projektová dokumentace skutečného provedení stavby - DSPS</v>
      </c>
      <c r="D13" s="18">
        <f>'E Položkový rozpočet'!I135</f>
        <v>0</v>
      </c>
      <c r="H13" s="3"/>
      <c r="I13" s="3"/>
      <c r="J13" s="3"/>
      <c r="K13" s="3"/>
    </row>
    <row r="14" spans="1:11" ht="27.95" customHeight="1" x14ac:dyDescent="0.2">
      <c r="A14" s="17" t="str">
        <f>'E Položkový rozpočet'!E106</f>
        <v>Přesuny hmot</v>
      </c>
      <c r="B14" s="28">
        <f>'E Položkový rozpočet'!I106</f>
        <v>0</v>
      </c>
      <c r="C14" s="19" t="str">
        <f>'E Položkový rozpočet'!E138</f>
        <v>Geotechnický dozor stavby</v>
      </c>
      <c r="D14" s="18">
        <f>'E Položkový rozpočet'!I138</f>
        <v>0</v>
      </c>
      <c r="H14" s="3"/>
      <c r="I14" s="3"/>
      <c r="J14" s="3"/>
      <c r="K14" s="3"/>
    </row>
    <row r="15" spans="1:11" ht="27.95" customHeight="1" thickBot="1" x14ac:dyDescent="0.25">
      <c r="A15" s="17"/>
      <c r="B15" s="28"/>
      <c r="C15" s="19" t="str">
        <f>'E Položkový rozpočet'!E141</f>
        <v>Vybavení staveniště, přenosné zdroje, zabezpečení staveniště, sociální zařízení, včetně jeho odstranění</v>
      </c>
      <c r="D15" s="18">
        <f>'E Položkový rozpočet'!I141</f>
        <v>0</v>
      </c>
      <c r="H15" s="3"/>
      <c r="I15" s="3"/>
      <c r="J15" s="3"/>
      <c r="K15" s="3"/>
    </row>
    <row r="16" spans="1:11" ht="12" customHeight="1" thickBot="1" x14ac:dyDescent="0.25">
      <c r="A16" s="11" t="s">
        <v>13</v>
      </c>
      <c r="B16" s="29">
        <f>SUM(B11:B15)</f>
        <v>0</v>
      </c>
      <c r="C16" s="11" t="s">
        <v>19</v>
      </c>
      <c r="D16" s="29">
        <f>SUM(D11:D15)</f>
        <v>0</v>
      </c>
      <c r="F16" s="12"/>
      <c r="H16" s="3"/>
      <c r="I16" s="3"/>
      <c r="J16" s="3"/>
      <c r="K16" s="3"/>
    </row>
    <row r="17" spans="1:4" ht="9.9499999999999993" customHeight="1" x14ac:dyDescent="0.2">
      <c r="A17" s="21"/>
      <c r="B17" s="20"/>
      <c r="C17" s="140"/>
      <c r="D17" s="141"/>
    </row>
    <row r="18" spans="1:4" ht="15" customHeight="1" x14ac:dyDescent="0.2">
      <c r="A18" s="22" t="s">
        <v>4</v>
      </c>
      <c r="B18" s="23">
        <f>D16+B16</f>
        <v>0</v>
      </c>
      <c r="C18" s="140"/>
      <c r="D18" s="141"/>
    </row>
    <row r="19" spans="1:4" ht="15" customHeight="1" x14ac:dyDescent="0.2">
      <c r="A19" s="24" t="s">
        <v>15</v>
      </c>
      <c r="B19" s="25">
        <f>0.21*B18</f>
        <v>0</v>
      </c>
      <c r="C19" s="140"/>
      <c r="D19" s="141"/>
    </row>
    <row r="20" spans="1:4" ht="9.9499999999999993" customHeight="1" thickBot="1" x14ac:dyDescent="0.25">
      <c r="A20" s="26"/>
      <c r="B20" s="27"/>
      <c r="C20" s="140"/>
      <c r="D20" s="141"/>
    </row>
    <row r="21" spans="1:4" ht="15" customHeight="1" thickBot="1" x14ac:dyDescent="0.25">
      <c r="A21" s="47" t="s">
        <v>12</v>
      </c>
      <c r="B21" s="50">
        <f>B18+B19</f>
        <v>0</v>
      </c>
      <c r="C21" s="142"/>
      <c r="D21" s="143"/>
    </row>
    <row r="22" spans="1:4" ht="12" customHeight="1" x14ac:dyDescent="0.2">
      <c r="A22" s="132" t="s">
        <v>5</v>
      </c>
      <c r="B22" s="133"/>
      <c r="C22" s="132" t="s">
        <v>20</v>
      </c>
      <c r="D22" s="137"/>
    </row>
    <row r="23" spans="1:4" ht="12" customHeight="1" x14ac:dyDescent="0.2">
      <c r="A23" s="134" t="s">
        <v>2</v>
      </c>
      <c r="B23" s="131"/>
      <c r="C23" s="134" t="s">
        <v>2</v>
      </c>
      <c r="D23" s="138"/>
    </row>
    <row r="24" spans="1:4" ht="12" customHeight="1" x14ac:dyDescent="0.2">
      <c r="A24" s="134" t="s">
        <v>0</v>
      </c>
      <c r="B24" s="131"/>
      <c r="C24" s="134" t="s">
        <v>0</v>
      </c>
      <c r="D24" s="139"/>
    </row>
    <row r="25" spans="1:4" ht="12" customHeight="1" thickBot="1" x14ac:dyDescent="0.25">
      <c r="A25" s="135" t="s">
        <v>3</v>
      </c>
      <c r="B25" s="136"/>
      <c r="C25" s="135" t="s">
        <v>3</v>
      </c>
      <c r="D25" s="136"/>
    </row>
    <row r="26" spans="1:4" ht="12" customHeight="1" x14ac:dyDescent="0.2">
      <c r="A26" s="5"/>
      <c r="B26" s="5"/>
      <c r="C26" s="5"/>
      <c r="D26" s="5"/>
    </row>
    <row r="27" spans="1:4" ht="15" customHeight="1" x14ac:dyDescent="0.2">
      <c r="B27" s="12"/>
    </row>
    <row r="28" spans="1:4" s="2" customFormat="1" ht="22.5" customHeight="1" x14ac:dyDescent="0.2"/>
    <row r="30" spans="1:4" ht="12" customHeight="1" x14ac:dyDescent="0.2"/>
    <row r="31" spans="1:4" ht="16.5" customHeight="1" x14ac:dyDescent="0.2"/>
    <row r="33" spans="1:4" ht="11.25" customHeight="1" x14ac:dyDescent="0.2">
      <c r="A33" s="6"/>
      <c r="B33" s="8"/>
      <c r="C33" s="4"/>
      <c r="D33" s="4"/>
    </row>
    <row r="34" spans="1:4" ht="15" customHeight="1" x14ac:dyDescent="0.2">
      <c r="A34" s="7"/>
      <c r="B34" s="9"/>
      <c r="C34" s="4"/>
      <c r="D34" s="4"/>
    </row>
    <row r="35" spans="1:4" ht="11.25" customHeight="1" x14ac:dyDescent="0.2">
      <c r="A35" s="4"/>
      <c r="B35" s="4"/>
      <c r="C35" s="4"/>
      <c r="D35" s="4"/>
    </row>
    <row r="36" spans="1:4" ht="11.25" customHeight="1" x14ac:dyDescent="0.2">
      <c r="A36" s="10"/>
      <c r="B36" s="4"/>
      <c r="C36" s="4"/>
      <c r="D36" s="4"/>
    </row>
    <row r="37" spans="1:4" ht="11.25" customHeight="1" x14ac:dyDescent="0.2">
      <c r="A37" s="4"/>
      <c r="B37" s="4"/>
      <c r="C37" s="105"/>
      <c r="D37" s="105"/>
    </row>
    <row r="38" spans="1:4" ht="12.75" customHeight="1" x14ac:dyDescent="0.2">
      <c r="A38" s="4"/>
      <c r="B38" s="4"/>
      <c r="C38" s="104"/>
      <c r="D38" s="104"/>
    </row>
    <row r="39" spans="1:4" ht="11.25" customHeight="1" x14ac:dyDescent="0.2">
      <c r="A39" s="4"/>
      <c r="B39" s="4"/>
      <c r="C39" s="4"/>
      <c r="D39" s="4"/>
    </row>
    <row r="40" spans="1:4" ht="11.25" customHeight="1" x14ac:dyDescent="0.2">
      <c r="A40" s="4"/>
      <c r="B40" s="4"/>
      <c r="C40" s="4"/>
      <c r="D40" s="4"/>
    </row>
  </sheetData>
  <sheetProtection password="CBD3" sheet="1" objects="1" scenarios="1"/>
  <mergeCells count="10">
    <mergeCell ref="B2:D2"/>
    <mergeCell ref="C38:D38"/>
    <mergeCell ref="C37:D37"/>
    <mergeCell ref="B6:D6"/>
    <mergeCell ref="B4:D4"/>
    <mergeCell ref="B5:D5"/>
    <mergeCell ref="A10:B10"/>
    <mergeCell ref="C10:D10"/>
    <mergeCell ref="C17:D21"/>
    <mergeCell ref="B3:D3"/>
  </mergeCells>
  <printOptions horizontalCentered="1"/>
  <pageMargins left="0.39370078740157483" right="0.39370078740157483" top="0.78740157480314965" bottom="0.39370078740157483" header="0.19685039370078741" footer="0.19685039370078741"/>
  <pageSetup paperSize="9" scale="96" firstPageNumber="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43"/>
  <sheetViews>
    <sheetView showGridLines="0" zoomScaleNormal="100" zoomScaleSheetLayoutView="80" workbookViewId="0">
      <selection activeCell="I135" sqref="I135"/>
    </sheetView>
  </sheetViews>
  <sheetFormatPr defaultRowHeight="12.75" customHeight="1" x14ac:dyDescent="0.2"/>
  <cols>
    <col min="1" max="1" width="3.140625" style="31" customWidth="1"/>
    <col min="2" max="2" width="3.140625" style="30" customWidth="1"/>
    <col min="3" max="3" width="11.7109375" style="30" customWidth="1"/>
    <col min="4" max="4" width="13.7109375" style="30" customWidth="1"/>
    <col min="5" max="5" width="80.7109375" style="31" customWidth="1"/>
    <col min="6" max="6" width="6.7109375" style="30" customWidth="1"/>
    <col min="7" max="7" width="8.7109375" style="32" customWidth="1"/>
    <col min="8" max="9" width="11.7109375" style="32" customWidth="1"/>
    <col min="10" max="10" width="8.7109375" style="31" customWidth="1"/>
    <col min="11" max="16384" width="9.140625" style="31"/>
  </cols>
  <sheetData>
    <row r="1" spans="2:10" ht="2.1" customHeight="1" thickBot="1" x14ac:dyDescent="0.25"/>
    <row r="2" spans="2:10" ht="30" customHeight="1" thickBot="1" x14ac:dyDescent="0.25">
      <c r="B2" s="45"/>
      <c r="C2" s="46"/>
      <c r="D2" s="46"/>
      <c r="E2" s="51" t="s">
        <v>125</v>
      </c>
      <c r="F2" s="46"/>
      <c r="G2" s="46"/>
      <c r="H2" s="46"/>
      <c r="I2" s="68"/>
    </row>
    <row r="3" spans="2:10" ht="30" customHeight="1" thickBot="1" x14ac:dyDescent="0.25">
      <c r="B3" s="33" t="s">
        <v>18</v>
      </c>
      <c r="C3" s="34" t="s">
        <v>63</v>
      </c>
      <c r="D3" s="34" t="s">
        <v>170</v>
      </c>
      <c r="E3" s="34" t="s">
        <v>64</v>
      </c>
      <c r="F3" s="34" t="s">
        <v>6</v>
      </c>
      <c r="G3" s="35" t="s">
        <v>59</v>
      </c>
      <c r="H3" s="35" t="s">
        <v>9</v>
      </c>
      <c r="I3" s="36" t="s">
        <v>7</v>
      </c>
    </row>
    <row r="4" spans="2:10" ht="15" customHeight="1" thickBot="1" x14ac:dyDescent="0.25">
      <c r="B4" s="38"/>
      <c r="C4" s="39"/>
      <c r="D4" s="39"/>
      <c r="E4" s="40" t="s">
        <v>28</v>
      </c>
      <c r="F4" s="41"/>
      <c r="G4" s="41"/>
      <c r="H4" s="41"/>
      <c r="I4" s="69">
        <f>SUM(I5:I49)</f>
        <v>0</v>
      </c>
    </row>
    <row r="5" spans="2:10" ht="15" customHeight="1" thickBot="1" x14ac:dyDescent="0.25">
      <c r="B5" s="61">
        <f>1+MAX($B3:B$4)</f>
        <v>1</v>
      </c>
      <c r="C5" s="62" t="s">
        <v>29</v>
      </c>
      <c r="D5" s="62" t="s">
        <v>60</v>
      </c>
      <c r="E5" s="88" t="s">
        <v>83</v>
      </c>
      <c r="F5" s="81" t="s">
        <v>21</v>
      </c>
      <c r="G5" s="84">
        <f>CEILING((45)*2*1.2,1)</f>
        <v>108</v>
      </c>
      <c r="H5" s="116"/>
      <c r="I5" s="70">
        <f t="shared" ref="I5" si="0">G5*H5</f>
        <v>0</v>
      </c>
    </row>
    <row r="6" spans="2:10" ht="15" customHeight="1" x14ac:dyDescent="0.2">
      <c r="B6" s="57"/>
      <c r="C6" s="54"/>
      <c r="D6" s="54"/>
      <c r="E6" s="65" t="s">
        <v>128</v>
      </c>
      <c r="F6" s="54"/>
      <c r="G6" s="90"/>
      <c r="H6" s="117"/>
      <c r="I6" s="72"/>
    </row>
    <row r="7" spans="2:10" ht="72.75" thickBot="1" x14ac:dyDescent="0.25">
      <c r="B7" s="58"/>
      <c r="C7" s="59"/>
      <c r="D7" s="59"/>
      <c r="E7" s="66" t="s">
        <v>179</v>
      </c>
      <c r="F7" s="59"/>
      <c r="G7" s="92"/>
      <c r="H7" s="118"/>
      <c r="I7" s="73"/>
    </row>
    <row r="8" spans="2:10" ht="15" customHeight="1" thickBot="1" x14ac:dyDescent="0.25">
      <c r="B8" s="61">
        <f>1+MAX($B$3:B6)</f>
        <v>2</v>
      </c>
      <c r="C8" s="62">
        <v>619996137</v>
      </c>
      <c r="D8" s="124"/>
      <c r="E8" s="88" t="s">
        <v>110</v>
      </c>
      <c r="F8" s="81" t="s">
        <v>21</v>
      </c>
      <c r="G8" s="84">
        <f>CEILING(((3+3+12+4+12)*2.5)*1.2,1)</f>
        <v>102</v>
      </c>
      <c r="H8" s="116"/>
      <c r="I8" s="70">
        <f t="shared" ref="I8" si="1">G8*H8</f>
        <v>0</v>
      </c>
      <c r="J8" s="37"/>
    </row>
    <row r="9" spans="2:10" ht="15" customHeight="1" x14ac:dyDescent="0.2">
      <c r="B9" s="57"/>
      <c r="C9" s="54"/>
      <c r="D9" s="125"/>
      <c r="E9" s="65" t="s">
        <v>129</v>
      </c>
      <c r="F9" s="54"/>
      <c r="G9" s="90"/>
      <c r="H9" s="117"/>
      <c r="I9" s="72"/>
      <c r="J9" s="37"/>
    </row>
    <row r="10" spans="2:10" ht="72.75" thickBot="1" x14ac:dyDescent="0.25">
      <c r="B10" s="58"/>
      <c r="C10" s="59"/>
      <c r="D10" s="126"/>
      <c r="E10" s="66" t="s">
        <v>179</v>
      </c>
      <c r="F10" s="59"/>
      <c r="G10" s="92"/>
      <c r="H10" s="118"/>
      <c r="I10" s="73"/>
      <c r="J10" s="37"/>
    </row>
    <row r="11" spans="2:10" ht="27" customHeight="1" thickBot="1" x14ac:dyDescent="0.25">
      <c r="B11" s="61">
        <f>1+MAX($B$3:B10)</f>
        <v>3</v>
      </c>
      <c r="C11" s="81">
        <v>155213612</v>
      </c>
      <c r="D11" s="124"/>
      <c r="E11" s="88" t="s">
        <v>92</v>
      </c>
      <c r="F11" s="62" t="s">
        <v>84</v>
      </c>
      <c r="G11" s="84">
        <f>CEILING((45)*1.2/2+1,1)</f>
        <v>28</v>
      </c>
      <c r="H11" s="116"/>
      <c r="I11" s="70">
        <f t="shared" ref="I11" si="2">G11*H11</f>
        <v>0</v>
      </c>
      <c r="J11" s="37"/>
    </row>
    <row r="12" spans="2:10" ht="15" customHeight="1" x14ac:dyDescent="0.2">
      <c r="B12" s="57"/>
      <c r="C12" s="54"/>
      <c r="D12" s="125"/>
      <c r="E12" s="65" t="s">
        <v>130</v>
      </c>
      <c r="F12" s="54"/>
      <c r="G12" s="90"/>
      <c r="H12" s="117"/>
      <c r="I12" s="72"/>
      <c r="J12" s="37"/>
    </row>
    <row r="13" spans="2:10" ht="27" customHeight="1" thickBot="1" x14ac:dyDescent="0.25">
      <c r="B13" s="57"/>
      <c r="C13" s="54"/>
      <c r="D13" s="125"/>
      <c r="E13" s="93" t="s">
        <v>114</v>
      </c>
      <c r="F13" s="54"/>
      <c r="G13" s="90"/>
      <c r="H13" s="118"/>
      <c r="I13" s="72"/>
      <c r="J13" s="37"/>
    </row>
    <row r="14" spans="2:10" ht="27" customHeight="1" thickBot="1" x14ac:dyDescent="0.25">
      <c r="B14" s="61">
        <f>1+MAX($B$3:B13)</f>
        <v>4</v>
      </c>
      <c r="C14" s="81">
        <v>155213611</v>
      </c>
      <c r="D14" s="124"/>
      <c r="E14" s="88" t="s">
        <v>48</v>
      </c>
      <c r="F14" s="62" t="s">
        <v>84</v>
      </c>
      <c r="G14" s="84">
        <f>CEILING(G11/2,1)</f>
        <v>14</v>
      </c>
      <c r="H14" s="116"/>
      <c r="I14" s="70">
        <f t="shared" ref="I14" si="3">G14*H14</f>
        <v>0</v>
      </c>
      <c r="J14" s="37"/>
    </row>
    <row r="15" spans="2:10" ht="15" customHeight="1" x14ac:dyDescent="0.2">
      <c r="B15" s="57"/>
      <c r="C15" s="54"/>
      <c r="D15" s="54"/>
      <c r="E15" s="65" t="s">
        <v>115</v>
      </c>
      <c r="F15" s="54"/>
      <c r="G15" s="90"/>
      <c r="H15" s="117"/>
      <c r="I15" s="72"/>
      <c r="J15" s="37"/>
    </row>
    <row r="16" spans="2:10" ht="27" customHeight="1" thickBot="1" x14ac:dyDescent="0.25">
      <c r="B16" s="57"/>
      <c r="C16" s="54"/>
      <c r="D16" s="54"/>
      <c r="E16" s="94" t="s">
        <v>101</v>
      </c>
      <c r="F16" s="54"/>
      <c r="G16" s="90"/>
      <c r="H16" s="118"/>
      <c r="I16" s="72"/>
      <c r="J16" s="37"/>
    </row>
    <row r="17" spans="2:10" ht="15" customHeight="1" thickBot="1" x14ac:dyDescent="0.25">
      <c r="B17" s="61">
        <f>1+MAX($B$3:B16)</f>
        <v>5</v>
      </c>
      <c r="C17" s="81" t="s">
        <v>62</v>
      </c>
      <c r="D17" s="81" t="s">
        <v>61</v>
      </c>
      <c r="E17" s="88" t="s">
        <v>102</v>
      </c>
      <c r="F17" s="62" t="s">
        <v>84</v>
      </c>
      <c r="G17" s="84">
        <f>G11+G14</f>
        <v>42</v>
      </c>
      <c r="H17" s="116"/>
      <c r="I17" s="70">
        <f t="shared" ref="I17" si="4">G17*H17</f>
        <v>0</v>
      </c>
      <c r="J17" s="37"/>
    </row>
    <row r="18" spans="2:10" ht="15" customHeight="1" x14ac:dyDescent="0.2">
      <c r="B18" s="57"/>
      <c r="C18" s="54"/>
      <c r="D18" s="54"/>
      <c r="E18" s="65" t="s">
        <v>116</v>
      </c>
      <c r="F18" s="54"/>
      <c r="G18" s="90"/>
      <c r="H18" s="117"/>
      <c r="I18" s="72"/>
      <c r="J18" s="37"/>
    </row>
    <row r="19" spans="2:10" ht="15" customHeight="1" thickBot="1" x14ac:dyDescent="0.25">
      <c r="B19" s="57"/>
      <c r="C19" s="54"/>
      <c r="D19" s="54"/>
      <c r="E19" s="94" t="s">
        <v>103</v>
      </c>
      <c r="F19" s="54"/>
      <c r="G19" s="90"/>
      <c r="H19" s="118"/>
      <c r="I19" s="72"/>
      <c r="J19" s="37"/>
    </row>
    <row r="20" spans="2:10" ht="15" customHeight="1" thickBot="1" x14ac:dyDescent="0.25">
      <c r="B20" s="61">
        <f>1+MAX($B$3:B19)</f>
        <v>6</v>
      </c>
      <c r="C20" s="83" t="s">
        <v>104</v>
      </c>
      <c r="D20" s="81" t="s">
        <v>61</v>
      </c>
      <c r="E20" s="95" t="s">
        <v>105</v>
      </c>
      <c r="F20" s="81" t="s">
        <v>21</v>
      </c>
      <c r="G20" s="84">
        <f>CEILING((45)*2,1)</f>
        <v>90</v>
      </c>
      <c r="H20" s="116"/>
      <c r="I20" s="70">
        <f t="shared" ref="I20" si="5">G20*H20</f>
        <v>0</v>
      </c>
      <c r="J20" s="37"/>
    </row>
    <row r="21" spans="2:10" ht="15" customHeight="1" x14ac:dyDescent="0.2">
      <c r="B21" s="57"/>
      <c r="C21" s="54"/>
      <c r="D21" s="54"/>
      <c r="E21" s="65" t="s">
        <v>131</v>
      </c>
      <c r="F21" s="54"/>
      <c r="G21" s="90"/>
      <c r="H21" s="117"/>
      <c r="I21" s="72"/>
      <c r="J21" s="37"/>
    </row>
    <row r="22" spans="2:10" ht="27" customHeight="1" thickBot="1" x14ac:dyDescent="0.25">
      <c r="B22" s="57"/>
      <c r="C22" s="59"/>
      <c r="D22" s="59"/>
      <c r="E22" s="66" t="s">
        <v>89</v>
      </c>
      <c r="F22" s="59"/>
      <c r="G22" s="92"/>
      <c r="H22" s="118"/>
      <c r="I22" s="72"/>
      <c r="J22" s="37"/>
    </row>
    <row r="23" spans="2:10" ht="15" customHeight="1" thickBot="1" x14ac:dyDescent="0.25">
      <c r="B23" s="61">
        <f>1+MAX($B$3:B22)</f>
        <v>7</v>
      </c>
      <c r="C23" s="96">
        <v>919726121</v>
      </c>
      <c r="D23" s="124"/>
      <c r="E23" s="97" t="s">
        <v>41</v>
      </c>
      <c r="F23" s="81" t="s">
        <v>21</v>
      </c>
      <c r="G23" s="84">
        <f>CEILING(G20*1.2,1)</f>
        <v>108</v>
      </c>
      <c r="H23" s="116"/>
      <c r="I23" s="70">
        <f t="shared" ref="I23" si="6">G23*H23</f>
        <v>0</v>
      </c>
      <c r="J23" s="37"/>
    </row>
    <row r="24" spans="2:10" ht="15" customHeight="1" x14ac:dyDescent="0.2">
      <c r="B24" s="57"/>
      <c r="C24" s="54"/>
      <c r="D24" s="54"/>
      <c r="E24" s="65" t="s">
        <v>106</v>
      </c>
      <c r="F24" s="54"/>
      <c r="G24" s="90"/>
      <c r="H24" s="117"/>
      <c r="I24" s="72"/>
      <c r="J24" s="37"/>
    </row>
    <row r="25" spans="2:10" ht="27" customHeight="1" thickBot="1" x14ac:dyDescent="0.25">
      <c r="B25" s="57"/>
      <c r="C25" s="59"/>
      <c r="D25" s="59"/>
      <c r="E25" s="66" t="s">
        <v>85</v>
      </c>
      <c r="F25" s="59"/>
      <c r="G25" s="92"/>
      <c r="H25" s="118"/>
      <c r="I25" s="72"/>
      <c r="J25" s="37"/>
    </row>
    <row r="26" spans="2:10" ht="15" customHeight="1" thickBot="1" x14ac:dyDescent="0.25">
      <c r="B26" s="61">
        <f>1+MAX($B$3:B25)</f>
        <v>8</v>
      </c>
      <c r="C26" s="96" t="s">
        <v>86</v>
      </c>
      <c r="D26" s="81" t="s">
        <v>61</v>
      </c>
      <c r="E26" s="82" t="s">
        <v>90</v>
      </c>
      <c r="F26" s="81" t="s">
        <v>21</v>
      </c>
      <c r="G26" s="84">
        <f>G23</f>
        <v>108</v>
      </c>
      <c r="H26" s="116"/>
      <c r="I26" s="70">
        <f t="shared" ref="I26" si="7">G26*H26</f>
        <v>0</v>
      </c>
      <c r="J26" s="37"/>
    </row>
    <row r="27" spans="2:10" ht="15" customHeight="1" x14ac:dyDescent="0.2">
      <c r="B27" s="57"/>
      <c r="C27" s="54"/>
      <c r="D27" s="54"/>
      <c r="E27" s="65" t="s">
        <v>66</v>
      </c>
      <c r="F27" s="54"/>
      <c r="G27" s="90"/>
      <c r="H27" s="117"/>
      <c r="I27" s="72"/>
      <c r="J27" s="37"/>
    </row>
    <row r="28" spans="2:10" ht="15" customHeight="1" thickBot="1" x14ac:dyDescent="0.25">
      <c r="B28" s="57"/>
      <c r="C28" s="59"/>
      <c r="D28" s="59"/>
      <c r="E28" s="66" t="s">
        <v>91</v>
      </c>
      <c r="F28" s="59"/>
      <c r="G28" s="92"/>
      <c r="H28" s="118"/>
      <c r="I28" s="72"/>
      <c r="J28" s="37"/>
    </row>
    <row r="29" spans="2:10" ht="15" customHeight="1" thickBot="1" x14ac:dyDescent="0.25">
      <c r="B29" s="61">
        <f>1+MAX($B$3:B28)</f>
        <v>9</v>
      </c>
      <c r="C29" s="81">
        <v>155214211</v>
      </c>
      <c r="D29" s="124"/>
      <c r="E29" s="82" t="s">
        <v>33</v>
      </c>
      <c r="F29" s="84" t="s">
        <v>8</v>
      </c>
      <c r="G29" s="84">
        <f>CEILING((45)*3+(G14*2*2.5),1)</f>
        <v>205</v>
      </c>
      <c r="H29" s="116"/>
      <c r="I29" s="70">
        <f t="shared" ref="I29" si="8">G29*H29</f>
        <v>0</v>
      </c>
      <c r="J29" s="37"/>
    </row>
    <row r="30" spans="2:10" ht="15" customHeight="1" x14ac:dyDescent="0.2">
      <c r="B30" s="57"/>
      <c r="C30" s="54"/>
      <c r="D30" s="125"/>
      <c r="E30" s="65" t="s">
        <v>132</v>
      </c>
      <c r="F30" s="54"/>
      <c r="G30" s="90"/>
      <c r="H30" s="117"/>
      <c r="I30" s="72"/>
      <c r="J30" s="37"/>
    </row>
    <row r="31" spans="2:10" ht="15" customHeight="1" thickBot="1" x14ac:dyDescent="0.25">
      <c r="B31" s="57"/>
      <c r="C31" s="59"/>
      <c r="D31" s="126"/>
      <c r="E31" s="66" t="s">
        <v>87</v>
      </c>
      <c r="F31" s="59"/>
      <c r="G31" s="92"/>
      <c r="H31" s="118"/>
      <c r="I31" s="72"/>
      <c r="J31" s="37"/>
    </row>
    <row r="32" spans="2:10" ht="15" customHeight="1" thickBot="1" x14ac:dyDescent="0.25">
      <c r="B32" s="61">
        <f>1+MAX($B$3:B31)</f>
        <v>10</v>
      </c>
      <c r="C32" s="80">
        <v>31452107</v>
      </c>
      <c r="D32" s="124"/>
      <c r="E32" s="82" t="s">
        <v>34</v>
      </c>
      <c r="F32" s="84" t="s">
        <v>8</v>
      </c>
      <c r="G32" s="84">
        <f>CEILING((G29*1.2),1)</f>
        <v>246</v>
      </c>
      <c r="H32" s="116"/>
      <c r="I32" s="70">
        <f t="shared" ref="I32" si="9">G32*H32</f>
        <v>0</v>
      </c>
      <c r="J32" s="37"/>
    </row>
    <row r="33" spans="2:10" ht="15" customHeight="1" x14ac:dyDescent="0.2">
      <c r="B33" s="57"/>
      <c r="C33" s="54"/>
      <c r="D33" s="54"/>
      <c r="E33" s="65" t="s">
        <v>49</v>
      </c>
      <c r="F33" s="54"/>
      <c r="G33" s="90"/>
      <c r="H33" s="117"/>
      <c r="I33" s="72"/>
      <c r="J33" s="37"/>
    </row>
    <row r="34" spans="2:10" ht="27" customHeight="1" thickBot="1" x14ac:dyDescent="0.25">
      <c r="B34" s="57"/>
      <c r="C34" s="59"/>
      <c r="D34" s="59"/>
      <c r="E34" s="66" t="s">
        <v>50</v>
      </c>
      <c r="F34" s="59"/>
      <c r="G34" s="92"/>
      <c r="H34" s="118"/>
      <c r="I34" s="72"/>
      <c r="J34" s="37"/>
    </row>
    <row r="35" spans="2:10" ht="15" thickBot="1" x14ac:dyDescent="0.25">
      <c r="B35" s="61">
        <f>1+MAX($B$3:B34)</f>
        <v>11</v>
      </c>
      <c r="C35" s="83" t="s">
        <v>107</v>
      </c>
      <c r="D35" s="81" t="s">
        <v>61</v>
      </c>
      <c r="E35" s="82" t="s">
        <v>108</v>
      </c>
      <c r="F35" s="81" t="s">
        <v>21</v>
      </c>
      <c r="G35" s="84">
        <f>G20</f>
        <v>90</v>
      </c>
      <c r="H35" s="116"/>
      <c r="I35" s="70">
        <f t="shared" ref="I35" si="10">G35*H35</f>
        <v>0</v>
      </c>
      <c r="J35" s="37"/>
    </row>
    <row r="36" spans="2:10" ht="15" customHeight="1" x14ac:dyDescent="0.2">
      <c r="B36" s="57"/>
      <c r="C36" s="54"/>
      <c r="D36" s="54"/>
      <c r="E36" s="65" t="s">
        <v>109</v>
      </c>
      <c r="F36" s="54"/>
      <c r="G36" s="90"/>
      <c r="H36" s="117"/>
      <c r="I36" s="72"/>
      <c r="J36" s="37"/>
    </row>
    <row r="37" spans="2:10" ht="27" customHeight="1" thickBot="1" x14ac:dyDescent="0.25">
      <c r="B37" s="57"/>
      <c r="C37" s="59"/>
      <c r="D37" s="59"/>
      <c r="E37" s="66" t="s">
        <v>88</v>
      </c>
      <c r="F37" s="59"/>
      <c r="G37" s="92"/>
      <c r="H37" s="118"/>
      <c r="I37" s="72"/>
      <c r="J37" s="37"/>
    </row>
    <row r="38" spans="2:10" ht="27" customHeight="1" thickBot="1" x14ac:dyDescent="0.25">
      <c r="B38" s="61">
        <f>1+MAX($B$3:B37)</f>
        <v>12</v>
      </c>
      <c r="C38" s="62">
        <v>966003818</v>
      </c>
      <c r="D38" s="124"/>
      <c r="E38" s="88" t="s">
        <v>133</v>
      </c>
      <c r="F38" s="81" t="s">
        <v>8</v>
      </c>
      <c r="G38" s="84">
        <f>CEILING((43)*1.1,1)</f>
        <v>48</v>
      </c>
      <c r="H38" s="116"/>
      <c r="I38" s="70">
        <f t="shared" ref="I38" si="11">G38*H38</f>
        <v>0</v>
      </c>
      <c r="J38" s="37"/>
    </row>
    <row r="39" spans="2:10" ht="15" customHeight="1" x14ac:dyDescent="0.2">
      <c r="B39" s="57"/>
      <c r="C39" s="54"/>
      <c r="D39" s="54"/>
      <c r="E39" s="65" t="s">
        <v>141</v>
      </c>
      <c r="F39" s="54"/>
      <c r="G39" s="90"/>
      <c r="H39" s="117"/>
      <c r="I39" s="72"/>
      <c r="J39" s="37"/>
    </row>
    <row r="40" spans="2:10" ht="38.1" customHeight="1" thickBot="1" x14ac:dyDescent="0.25">
      <c r="B40" s="58"/>
      <c r="C40" s="59"/>
      <c r="D40" s="59"/>
      <c r="E40" s="66" t="s">
        <v>137</v>
      </c>
      <c r="F40" s="59"/>
      <c r="G40" s="92"/>
      <c r="H40" s="118"/>
      <c r="I40" s="73"/>
      <c r="J40" s="37"/>
    </row>
    <row r="41" spans="2:10" thickBot="1" x14ac:dyDescent="0.25">
      <c r="B41" s="61">
        <f>1+MAX($B$3:B40)</f>
        <v>13</v>
      </c>
      <c r="C41" s="62" t="s">
        <v>134</v>
      </c>
      <c r="D41" s="81" t="s">
        <v>61</v>
      </c>
      <c r="E41" s="88" t="s">
        <v>136</v>
      </c>
      <c r="F41" s="81" t="s">
        <v>8</v>
      </c>
      <c r="G41" s="84">
        <f>G38</f>
        <v>48</v>
      </c>
      <c r="H41" s="116"/>
      <c r="I41" s="70">
        <f t="shared" ref="I41" si="12">G41*H41</f>
        <v>0</v>
      </c>
      <c r="J41" s="37"/>
    </row>
    <row r="42" spans="2:10" ht="15" customHeight="1" x14ac:dyDescent="0.2">
      <c r="B42" s="57"/>
      <c r="C42" s="54"/>
      <c r="D42" s="54"/>
      <c r="E42" s="65" t="s">
        <v>135</v>
      </c>
      <c r="F42" s="54"/>
      <c r="G42" s="90"/>
      <c r="H42" s="117"/>
      <c r="I42" s="72"/>
      <c r="J42" s="37"/>
    </row>
    <row r="43" spans="2:10" ht="38.1" customHeight="1" thickBot="1" x14ac:dyDescent="0.25">
      <c r="B43" s="58"/>
      <c r="C43" s="59"/>
      <c r="D43" s="59"/>
      <c r="E43" s="66" t="s">
        <v>180</v>
      </c>
      <c r="F43" s="59"/>
      <c r="G43" s="92"/>
      <c r="H43" s="118"/>
      <c r="I43" s="73"/>
      <c r="J43" s="37"/>
    </row>
    <row r="44" spans="2:10" ht="27" customHeight="1" thickBot="1" x14ac:dyDescent="0.25">
      <c r="B44" s="61">
        <f>1+MAX($B$3:B43)</f>
        <v>14</v>
      </c>
      <c r="C44" s="62">
        <v>171111105</v>
      </c>
      <c r="D44" s="124"/>
      <c r="E44" s="88" t="s">
        <v>138</v>
      </c>
      <c r="F44" s="81" t="s">
        <v>35</v>
      </c>
      <c r="G44" s="84">
        <f>CEILING(G38*0.2*1.2,0.1)</f>
        <v>11.600000000000001</v>
      </c>
      <c r="H44" s="116"/>
      <c r="I44" s="70">
        <f t="shared" ref="I44" si="13">G44*H44</f>
        <v>0</v>
      </c>
      <c r="J44" s="37"/>
    </row>
    <row r="45" spans="2:10" ht="15" customHeight="1" x14ac:dyDescent="0.2">
      <c r="B45" s="57"/>
      <c r="C45" s="54"/>
      <c r="D45" s="125"/>
      <c r="E45" s="65" t="s">
        <v>142</v>
      </c>
      <c r="F45" s="54"/>
      <c r="G45" s="90"/>
      <c r="H45" s="117"/>
      <c r="I45" s="72"/>
      <c r="J45" s="37"/>
    </row>
    <row r="46" spans="2:10" ht="38.1" customHeight="1" thickBot="1" x14ac:dyDescent="0.25">
      <c r="B46" s="58"/>
      <c r="C46" s="59"/>
      <c r="D46" s="126"/>
      <c r="E46" s="66" t="s">
        <v>181</v>
      </c>
      <c r="F46" s="59"/>
      <c r="G46" s="92"/>
      <c r="H46" s="118"/>
      <c r="I46" s="73"/>
      <c r="J46" s="37"/>
    </row>
    <row r="47" spans="2:10" ht="15" customHeight="1" thickBot="1" x14ac:dyDescent="0.25">
      <c r="B47" s="61">
        <f>1+MAX($B$3:B46)</f>
        <v>15</v>
      </c>
      <c r="C47" s="62">
        <v>171151101</v>
      </c>
      <c r="D47" s="124"/>
      <c r="E47" s="88" t="s">
        <v>139</v>
      </c>
      <c r="F47" s="81" t="s">
        <v>21</v>
      </c>
      <c r="G47" s="84">
        <f>CEILING(G38*1*1.15,1)</f>
        <v>56</v>
      </c>
      <c r="H47" s="116"/>
      <c r="I47" s="70">
        <f t="shared" ref="I47" si="14">G47*H47</f>
        <v>0</v>
      </c>
      <c r="J47" s="37"/>
    </row>
    <row r="48" spans="2:10" ht="15" customHeight="1" x14ac:dyDescent="0.2">
      <c r="B48" s="57"/>
      <c r="C48" s="54"/>
      <c r="D48" s="54"/>
      <c r="E48" s="65" t="s">
        <v>145</v>
      </c>
      <c r="F48" s="54"/>
      <c r="G48" s="90"/>
      <c r="H48" s="117"/>
      <c r="I48" s="72"/>
      <c r="J48" s="37"/>
    </row>
    <row r="49" spans="2:10" ht="15" customHeight="1" thickBot="1" x14ac:dyDescent="0.25">
      <c r="B49" s="58"/>
      <c r="C49" s="59"/>
      <c r="D49" s="59"/>
      <c r="E49" s="66" t="s">
        <v>140</v>
      </c>
      <c r="F49" s="59"/>
      <c r="G49" s="92"/>
      <c r="H49" s="118"/>
      <c r="I49" s="73"/>
      <c r="J49" s="37"/>
    </row>
    <row r="50" spans="2:10" ht="15" customHeight="1" thickBot="1" x14ac:dyDescent="0.25">
      <c r="B50" s="38"/>
      <c r="C50" s="39"/>
      <c r="D50" s="39"/>
      <c r="E50" s="40" t="s">
        <v>77</v>
      </c>
      <c r="F50" s="41"/>
      <c r="G50" s="41"/>
      <c r="H50" s="41"/>
      <c r="I50" s="69">
        <f>SUM(I51:I68)</f>
        <v>0</v>
      </c>
    </row>
    <row r="51" spans="2:10" ht="38.1" customHeight="1" thickBot="1" x14ac:dyDescent="0.25">
      <c r="B51" s="61">
        <f>1+MAX($B$3:B50)</f>
        <v>16</v>
      </c>
      <c r="C51" s="62">
        <v>112211273</v>
      </c>
      <c r="D51" s="124"/>
      <c r="E51" s="88" t="s">
        <v>143</v>
      </c>
      <c r="F51" s="81" t="s">
        <v>82</v>
      </c>
      <c r="G51" s="98">
        <f>11</f>
        <v>11</v>
      </c>
      <c r="H51" s="116"/>
      <c r="I51" s="70">
        <f>G51*H51</f>
        <v>0</v>
      </c>
    </row>
    <row r="52" spans="2:10" ht="15" customHeight="1" x14ac:dyDescent="0.2">
      <c r="B52" s="57"/>
      <c r="C52" s="54"/>
      <c r="D52" s="125"/>
      <c r="E52" s="65" t="s">
        <v>144</v>
      </c>
      <c r="F52" s="54"/>
      <c r="G52" s="71"/>
      <c r="H52" s="117"/>
      <c r="I52" s="72"/>
    </row>
    <row r="53" spans="2:10" ht="50.1" customHeight="1" thickBot="1" x14ac:dyDescent="0.25">
      <c r="B53" s="58"/>
      <c r="C53" s="59"/>
      <c r="D53" s="126"/>
      <c r="E53" s="66" t="s">
        <v>150</v>
      </c>
      <c r="F53" s="59"/>
      <c r="G53" s="60"/>
      <c r="H53" s="118"/>
      <c r="I53" s="73"/>
    </row>
    <row r="54" spans="2:10" ht="27" customHeight="1" thickBot="1" x14ac:dyDescent="0.25">
      <c r="B54" s="61">
        <f>1+MAX($B$3:B53)</f>
        <v>17</v>
      </c>
      <c r="C54" s="62">
        <v>155211112</v>
      </c>
      <c r="D54" s="124"/>
      <c r="E54" s="88" t="s">
        <v>95</v>
      </c>
      <c r="F54" s="81" t="s">
        <v>21</v>
      </c>
      <c r="G54" s="98">
        <f>CEILING(0.7*(243)*3.24*1.2,1)</f>
        <v>662</v>
      </c>
      <c r="H54" s="116"/>
      <c r="I54" s="70">
        <f>G54*H54</f>
        <v>0</v>
      </c>
    </row>
    <row r="55" spans="2:10" ht="15" customHeight="1" x14ac:dyDescent="0.2">
      <c r="B55" s="57"/>
      <c r="C55" s="54"/>
      <c r="D55" s="125"/>
      <c r="E55" s="65" t="s">
        <v>174</v>
      </c>
      <c r="F55" s="54"/>
      <c r="G55" s="99"/>
      <c r="H55" s="117"/>
      <c r="I55" s="72"/>
      <c r="J55" s="54"/>
    </row>
    <row r="56" spans="2:10" ht="39.950000000000003" customHeight="1" thickBot="1" x14ac:dyDescent="0.25">
      <c r="B56" s="58"/>
      <c r="C56" s="59"/>
      <c r="D56" s="126"/>
      <c r="E56" s="66" t="s">
        <v>121</v>
      </c>
      <c r="F56" s="59"/>
      <c r="G56" s="100"/>
      <c r="H56" s="118"/>
      <c r="I56" s="73"/>
    </row>
    <row r="57" spans="2:10" ht="15" customHeight="1" thickBot="1" x14ac:dyDescent="0.25">
      <c r="B57" s="61">
        <f>1+MAX($B$3:B56)</f>
        <v>18</v>
      </c>
      <c r="C57" s="62">
        <v>112155315</v>
      </c>
      <c r="D57" s="124"/>
      <c r="E57" s="88" t="s">
        <v>96</v>
      </c>
      <c r="F57" s="81" t="s">
        <v>21</v>
      </c>
      <c r="G57" s="98">
        <f>G54</f>
        <v>662</v>
      </c>
      <c r="H57" s="116"/>
      <c r="I57" s="70">
        <f>G57*H57</f>
        <v>0</v>
      </c>
      <c r="J57" s="54"/>
    </row>
    <row r="58" spans="2:10" ht="15" customHeight="1" x14ac:dyDescent="0.2">
      <c r="B58" s="57"/>
      <c r="C58" s="54"/>
      <c r="D58" s="125"/>
      <c r="E58" s="65" t="s">
        <v>51</v>
      </c>
      <c r="F58" s="54"/>
      <c r="G58" s="71"/>
      <c r="H58" s="117"/>
      <c r="I58" s="72"/>
      <c r="J58" s="54"/>
    </row>
    <row r="59" spans="2:10" ht="38.1" customHeight="1" thickBot="1" x14ac:dyDescent="0.25">
      <c r="B59" s="58"/>
      <c r="C59" s="59"/>
      <c r="D59" s="126"/>
      <c r="E59" s="66" t="s">
        <v>151</v>
      </c>
      <c r="F59" s="59"/>
      <c r="G59" s="60"/>
      <c r="H59" s="118"/>
      <c r="I59" s="73"/>
      <c r="J59" s="55"/>
    </row>
    <row r="60" spans="2:10" ht="15" customHeight="1" thickBot="1" x14ac:dyDescent="0.25">
      <c r="B60" s="61">
        <f>1+MAX($B$3:B59)</f>
        <v>19</v>
      </c>
      <c r="C60" s="81">
        <v>155211122</v>
      </c>
      <c r="D60" s="124"/>
      <c r="E60" s="82" t="s">
        <v>97</v>
      </c>
      <c r="F60" s="81" t="s">
        <v>35</v>
      </c>
      <c r="G60" s="84">
        <f>49.6</f>
        <v>49.6</v>
      </c>
      <c r="H60" s="116"/>
      <c r="I60" s="70">
        <f>G60*H60</f>
        <v>0</v>
      </c>
    </row>
    <row r="61" spans="2:10" ht="15" customHeight="1" x14ac:dyDescent="0.2">
      <c r="B61" s="57"/>
      <c r="C61" s="54"/>
      <c r="D61" s="125"/>
      <c r="E61" s="65" t="s">
        <v>147</v>
      </c>
      <c r="F61" s="54"/>
      <c r="G61" s="99"/>
      <c r="H61" s="117"/>
      <c r="I61" s="72"/>
    </row>
    <row r="62" spans="2:10" ht="50.1" customHeight="1" thickBot="1" x14ac:dyDescent="0.25">
      <c r="B62" s="58"/>
      <c r="C62" s="59"/>
      <c r="D62" s="126"/>
      <c r="E62" s="66" t="s">
        <v>152</v>
      </c>
      <c r="F62" s="59"/>
      <c r="G62" s="100"/>
      <c r="H62" s="118"/>
      <c r="I62" s="73"/>
    </row>
    <row r="63" spans="2:10" ht="27" customHeight="1" thickBot="1" x14ac:dyDescent="0.25">
      <c r="B63" s="61">
        <f>1+MAX($B$3:B62)</f>
        <v>20</v>
      </c>
      <c r="C63" s="81">
        <v>155211311</v>
      </c>
      <c r="D63" s="124"/>
      <c r="E63" s="82" t="s">
        <v>98</v>
      </c>
      <c r="F63" s="81" t="s">
        <v>35</v>
      </c>
      <c r="G63" s="84">
        <f>10.8</f>
        <v>10.8</v>
      </c>
      <c r="H63" s="116"/>
      <c r="I63" s="70">
        <f>G63*H63</f>
        <v>0</v>
      </c>
    </row>
    <row r="64" spans="2:10" ht="15" customHeight="1" x14ac:dyDescent="0.2">
      <c r="B64" s="57"/>
      <c r="C64" s="54"/>
      <c r="D64" s="125"/>
      <c r="E64" s="65" t="s">
        <v>146</v>
      </c>
      <c r="F64" s="54"/>
      <c r="G64" s="99"/>
      <c r="H64" s="117"/>
      <c r="I64" s="72"/>
    </row>
    <row r="65" spans="2:9" ht="65.099999999999994" customHeight="1" thickBot="1" x14ac:dyDescent="0.25">
      <c r="B65" s="58"/>
      <c r="C65" s="59"/>
      <c r="D65" s="126"/>
      <c r="E65" s="66" t="s">
        <v>153</v>
      </c>
      <c r="F65" s="59"/>
      <c r="G65" s="60"/>
      <c r="H65" s="118"/>
      <c r="I65" s="73"/>
    </row>
    <row r="66" spans="2:9" ht="15" customHeight="1" thickBot="1" x14ac:dyDescent="0.25">
      <c r="B66" s="61">
        <f>1+MAX($B$3:B65)</f>
        <v>21</v>
      </c>
      <c r="C66" s="62">
        <v>122251102</v>
      </c>
      <c r="D66" s="124"/>
      <c r="E66" s="88" t="s">
        <v>148</v>
      </c>
      <c r="F66" s="101" t="s">
        <v>35</v>
      </c>
      <c r="G66" s="84">
        <f>CEILING((70)*1*0.5,1)</f>
        <v>35</v>
      </c>
      <c r="H66" s="116"/>
      <c r="I66" s="70">
        <f>G66*H66</f>
        <v>0</v>
      </c>
    </row>
    <row r="67" spans="2:9" ht="15" customHeight="1" x14ac:dyDescent="0.2">
      <c r="B67" s="57"/>
      <c r="C67" s="54"/>
      <c r="D67" s="54"/>
      <c r="E67" s="65" t="s">
        <v>149</v>
      </c>
      <c r="F67" s="54"/>
      <c r="G67" s="71"/>
      <c r="H67" s="117"/>
      <c r="I67" s="72"/>
    </row>
    <row r="68" spans="2:9" ht="38.1" customHeight="1" thickBot="1" x14ac:dyDescent="0.25">
      <c r="B68" s="58"/>
      <c r="C68" s="59"/>
      <c r="D68" s="59"/>
      <c r="E68" s="66" t="s">
        <v>154</v>
      </c>
      <c r="F68" s="59"/>
      <c r="G68" s="60"/>
      <c r="H68" s="118"/>
      <c r="I68" s="73"/>
    </row>
    <row r="69" spans="2:9" ht="15" customHeight="1" thickBot="1" x14ac:dyDescent="0.25">
      <c r="B69" s="38"/>
      <c r="C69" s="39"/>
      <c r="D69" s="39"/>
      <c r="E69" s="42" t="s">
        <v>118</v>
      </c>
      <c r="F69" s="39"/>
      <c r="G69" s="39"/>
      <c r="H69" s="53"/>
      <c r="I69" s="74">
        <f>SUM(I70:I105)</f>
        <v>0</v>
      </c>
    </row>
    <row r="70" spans="2:9" ht="27" customHeight="1" thickBot="1" x14ac:dyDescent="0.25">
      <c r="B70" s="61">
        <f>1+MAX($B$3:B69)</f>
        <v>22</v>
      </c>
      <c r="C70" s="62">
        <v>155213612</v>
      </c>
      <c r="D70" s="124"/>
      <c r="E70" s="88" t="s">
        <v>92</v>
      </c>
      <c r="F70" s="81" t="s">
        <v>82</v>
      </c>
      <c r="G70" s="84">
        <f>CEILING(((48+46)*1.2/2+2)+((11+8)*1.2/2+2)+(CEILING(148*3.24*1.2,1)/(2*2)*1.1),1)</f>
        <v>231</v>
      </c>
      <c r="H70" s="116"/>
      <c r="I70" s="70">
        <f t="shared" ref="I70" si="15">G70*H70</f>
        <v>0</v>
      </c>
    </row>
    <row r="71" spans="2:9" ht="38.1" customHeight="1" x14ac:dyDescent="0.2">
      <c r="B71" s="57"/>
      <c r="C71" s="54"/>
      <c r="D71" s="125"/>
      <c r="E71" s="65" t="s">
        <v>172</v>
      </c>
      <c r="F71" s="54"/>
      <c r="G71" s="99"/>
      <c r="H71" s="119"/>
      <c r="I71" s="72"/>
    </row>
    <row r="72" spans="2:9" ht="38.1" customHeight="1" thickBot="1" x14ac:dyDescent="0.25">
      <c r="B72" s="58"/>
      <c r="C72" s="59"/>
      <c r="D72" s="126"/>
      <c r="E72" s="66" t="s">
        <v>158</v>
      </c>
      <c r="F72" s="59"/>
      <c r="G72" s="100"/>
      <c r="H72" s="120"/>
      <c r="I72" s="73"/>
    </row>
    <row r="73" spans="2:9" ht="27" customHeight="1" thickBot="1" x14ac:dyDescent="0.25">
      <c r="B73" s="61">
        <f>1+MAX($B$3:B72)</f>
        <v>23</v>
      </c>
      <c r="C73" s="62">
        <v>155213613</v>
      </c>
      <c r="D73" s="124"/>
      <c r="E73" s="88" t="s">
        <v>157</v>
      </c>
      <c r="F73" s="81" t="s">
        <v>82</v>
      </c>
      <c r="G73" s="84">
        <f>CEILING(((46+43)*1.2/3+2)+((7+7)*1.2/2+2)+(CEILING(180*3.24*1.2,1)/(3*2)*1.1),1)</f>
        <v>177</v>
      </c>
      <c r="H73" s="116"/>
      <c r="I73" s="70">
        <f t="shared" ref="I73" si="16">G73*H73</f>
        <v>0</v>
      </c>
    </row>
    <row r="74" spans="2:9" ht="38.1" customHeight="1" x14ac:dyDescent="0.2">
      <c r="B74" s="57"/>
      <c r="C74" s="54"/>
      <c r="D74" s="125"/>
      <c r="E74" s="65" t="s">
        <v>173</v>
      </c>
      <c r="F74" s="54"/>
      <c r="G74" s="99"/>
      <c r="H74" s="119"/>
      <c r="I74" s="72"/>
    </row>
    <row r="75" spans="2:9" ht="38.1" customHeight="1" thickBot="1" x14ac:dyDescent="0.25">
      <c r="B75" s="58"/>
      <c r="C75" s="59"/>
      <c r="D75" s="126"/>
      <c r="E75" s="66" t="s">
        <v>159</v>
      </c>
      <c r="F75" s="59"/>
      <c r="G75" s="100"/>
      <c r="H75" s="120"/>
      <c r="I75" s="73"/>
    </row>
    <row r="76" spans="2:9" ht="15" customHeight="1" thickBot="1" x14ac:dyDescent="0.25">
      <c r="B76" s="61">
        <f>1+MAX($B$3:B75)</f>
        <v>24</v>
      </c>
      <c r="C76" s="81">
        <v>789321110</v>
      </c>
      <c r="D76" s="124"/>
      <c r="E76" s="82" t="s">
        <v>47</v>
      </c>
      <c r="F76" s="81" t="s">
        <v>21</v>
      </c>
      <c r="G76" s="84">
        <f>CEILING((((2*(PI()*(0.032^2)/4))+(PI()*0.032))*1.3*(3*G70+4*G73)+((2*0.15*0.15+4*0.15*0.008)*(G70+G73)))*1.2,1)</f>
        <v>248</v>
      </c>
      <c r="H76" s="116"/>
      <c r="I76" s="70">
        <f t="shared" ref="I76:I141" si="17">G76*H76</f>
        <v>0</v>
      </c>
    </row>
    <row r="77" spans="2:9" ht="38.1" customHeight="1" x14ac:dyDescent="0.2">
      <c r="B77" s="57"/>
      <c r="C77" s="54"/>
      <c r="D77" s="125"/>
      <c r="E77" s="65" t="s">
        <v>160</v>
      </c>
      <c r="F77" s="54"/>
      <c r="G77" s="91"/>
      <c r="H77" s="117"/>
      <c r="I77" s="72"/>
    </row>
    <row r="78" spans="2:9" ht="38.1" customHeight="1" thickBot="1" x14ac:dyDescent="0.25">
      <c r="B78" s="58"/>
      <c r="C78" s="59"/>
      <c r="D78" s="126"/>
      <c r="E78" s="66" t="s">
        <v>120</v>
      </c>
      <c r="F78" s="59"/>
      <c r="G78" s="60"/>
      <c r="H78" s="118"/>
      <c r="I78" s="73"/>
    </row>
    <row r="79" spans="2:9" ht="15" customHeight="1" thickBot="1" x14ac:dyDescent="0.25">
      <c r="B79" s="61">
        <f>1+MAX($B$3:B78)</f>
        <v>25</v>
      </c>
      <c r="C79" s="81">
        <v>789321120</v>
      </c>
      <c r="D79" s="124"/>
      <c r="E79" s="82" t="s">
        <v>31</v>
      </c>
      <c r="F79" s="81" t="s">
        <v>21</v>
      </c>
      <c r="G79" s="98">
        <f>CEILING((((2*(PI()*(0.032^2)/4))+(PI()*0.032))*1.3*0.4*(G70+G73)+((2*0.15*0.15+4*0.15*0.008)*(G70+G73)))*2*1.2,1)</f>
        <v>101</v>
      </c>
      <c r="H79" s="116"/>
      <c r="I79" s="70">
        <f t="shared" si="17"/>
        <v>0</v>
      </c>
    </row>
    <row r="80" spans="2:9" ht="27" customHeight="1" x14ac:dyDescent="0.2">
      <c r="B80" s="57"/>
      <c r="C80" s="54"/>
      <c r="D80" s="125"/>
      <c r="E80" s="65" t="s">
        <v>161</v>
      </c>
      <c r="F80" s="54"/>
      <c r="G80" s="71"/>
      <c r="H80" s="117"/>
      <c r="I80" s="72"/>
    </row>
    <row r="81" spans="2:10" ht="38.1" customHeight="1" thickBot="1" x14ac:dyDescent="0.25">
      <c r="B81" s="58"/>
      <c r="C81" s="59"/>
      <c r="D81" s="126"/>
      <c r="E81" s="66" t="s">
        <v>119</v>
      </c>
      <c r="F81" s="59"/>
      <c r="G81" s="60"/>
      <c r="H81" s="118"/>
      <c r="I81" s="73"/>
    </row>
    <row r="82" spans="2:10" ht="15" customHeight="1" thickBot="1" x14ac:dyDescent="0.25">
      <c r="B82" s="61">
        <f>1+MAX($B$3:B81)</f>
        <v>26</v>
      </c>
      <c r="C82" s="81">
        <v>155214111</v>
      </c>
      <c r="D82" s="124"/>
      <c r="E82" s="95" t="s">
        <v>32</v>
      </c>
      <c r="F82" s="81" t="s">
        <v>21</v>
      </c>
      <c r="G82" s="84">
        <f>CEILING((328)*3.24*1.2,1)</f>
        <v>1276</v>
      </c>
      <c r="H82" s="116"/>
      <c r="I82" s="70">
        <f t="shared" si="17"/>
        <v>0</v>
      </c>
      <c r="J82" s="52"/>
    </row>
    <row r="83" spans="2:10" ht="15" customHeight="1" x14ac:dyDescent="0.2">
      <c r="B83" s="57"/>
      <c r="C83" s="54"/>
      <c r="D83" s="54"/>
      <c r="E83" s="65" t="s">
        <v>171</v>
      </c>
      <c r="F83" s="54"/>
      <c r="G83" s="99"/>
      <c r="H83" s="117"/>
      <c r="I83" s="72"/>
      <c r="J83" s="52"/>
    </row>
    <row r="84" spans="2:10" ht="38.1" customHeight="1" thickBot="1" x14ac:dyDescent="0.25">
      <c r="B84" s="58"/>
      <c r="C84" s="59"/>
      <c r="D84" s="59"/>
      <c r="E84" s="66" t="s">
        <v>182</v>
      </c>
      <c r="F84" s="59"/>
      <c r="G84" s="100"/>
      <c r="H84" s="118"/>
      <c r="I84" s="73"/>
      <c r="J84" s="52"/>
    </row>
    <row r="85" spans="2:10" ht="15" customHeight="1" thickBot="1" x14ac:dyDescent="0.25">
      <c r="B85" s="61">
        <f>1+MAX($B$3:B84)</f>
        <v>27</v>
      </c>
      <c r="C85" s="81" t="s">
        <v>124</v>
      </c>
      <c r="D85" s="81" t="s">
        <v>61</v>
      </c>
      <c r="E85" s="82" t="s">
        <v>155</v>
      </c>
      <c r="F85" s="81" t="s">
        <v>21</v>
      </c>
      <c r="G85" s="84">
        <f>CEILING(G82*1.2,1)</f>
        <v>1532</v>
      </c>
      <c r="H85" s="116"/>
      <c r="I85" s="70">
        <f t="shared" si="17"/>
        <v>0</v>
      </c>
      <c r="J85" s="56"/>
    </row>
    <row r="86" spans="2:10" ht="15" customHeight="1" x14ac:dyDescent="0.2">
      <c r="B86" s="57"/>
      <c r="C86" s="54"/>
      <c r="D86" s="54"/>
      <c r="E86" s="65" t="s">
        <v>99</v>
      </c>
      <c r="F86" s="54"/>
      <c r="G86" s="71"/>
      <c r="H86" s="117"/>
      <c r="I86" s="72"/>
      <c r="J86" s="56"/>
    </row>
    <row r="87" spans="2:10" ht="38.1" customHeight="1" thickBot="1" x14ac:dyDescent="0.25">
      <c r="B87" s="58"/>
      <c r="C87" s="59"/>
      <c r="D87" s="59"/>
      <c r="E87" s="66" t="s">
        <v>80</v>
      </c>
      <c r="F87" s="59"/>
      <c r="G87" s="60"/>
      <c r="H87" s="118"/>
      <c r="I87" s="73"/>
      <c r="J87" s="56"/>
    </row>
    <row r="88" spans="2:10" ht="15" customHeight="1" thickBot="1" x14ac:dyDescent="0.25">
      <c r="B88" s="61">
        <f>1+MAX($B$3:B87)</f>
        <v>28</v>
      </c>
      <c r="C88" s="81">
        <v>155214112</v>
      </c>
      <c r="D88" s="124"/>
      <c r="E88" s="82" t="s">
        <v>75</v>
      </c>
      <c r="F88" s="81" t="s">
        <v>21</v>
      </c>
      <c r="G88" s="84">
        <f>CEILING(0.35*G82,1)</f>
        <v>447</v>
      </c>
      <c r="H88" s="116"/>
      <c r="I88" s="70">
        <f t="shared" ref="I88" si="18">G88*H88</f>
        <v>0</v>
      </c>
      <c r="J88" s="56"/>
    </row>
    <row r="89" spans="2:10" ht="15" customHeight="1" x14ac:dyDescent="0.2">
      <c r="B89" s="57"/>
      <c r="C89" s="54"/>
      <c r="D89" s="125"/>
      <c r="E89" s="65" t="s">
        <v>156</v>
      </c>
      <c r="F89" s="54"/>
      <c r="G89" s="71"/>
      <c r="H89" s="117"/>
      <c r="I89" s="72"/>
      <c r="J89" s="56"/>
    </row>
    <row r="90" spans="2:10" ht="38.1" customHeight="1" thickBot="1" x14ac:dyDescent="0.25">
      <c r="B90" s="58"/>
      <c r="C90" s="59"/>
      <c r="D90" s="126"/>
      <c r="E90" s="66" t="s">
        <v>81</v>
      </c>
      <c r="F90" s="59"/>
      <c r="G90" s="60"/>
      <c r="H90" s="118"/>
      <c r="I90" s="73"/>
      <c r="J90" s="56"/>
    </row>
    <row r="91" spans="2:10" ht="15" customHeight="1" thickBot="1" x14ac:dyDescent="0.25">
      <c r="B91" s="61">
        <f>1+MAX($B$3:B90)</f>
        <v>29</v>
      </c>
      <c r="C91" s="81">
        <v>69321111</v>
      </c>
      <c r="D91" s="124"/>
      <c r="E91" s="82" t="s">
        <v>72</v>
      </c>
      <c r="F91" s="81" t="s">
        <v>21</v>
      </c>
      <c r="G91" s="84">
        <f>CEILING(G88*1.2,1)</f>
        <v>537</v>
      </c>
      <c r="H91" s="116"/>
      <c r="I91" s="70">
        <f t="shared" ref="I91" si="19">G91*H91</f>
        <v>0</v>
      </c>
      <c r="J91" s="56"/>
    </row>
    <row r="92" spans="2:10" ht="15" customHeight="1" x14ac:dyDescent="0.2">
      <c r="B92" s="57"/>
      <c r="C92" s="54"/>
      <c r="D92" s="125"/>
      <c r="E92" s="65" t="s">
        <v>76</v>
      </c>
      <c r="F92" s="54"/>
      <c r="G92" s="71"/>
      <c r="H92" s="117"/>
      <c r="I92" s="72"/>
      <c r="J92" s="56"/>
    </row>
    <row r="93" spans="2:10" ht="27" customHeight="1" thickBot="1" x14ac:dyDescent="0.25">
      <c r="B93" s="58"/>
      <c r="C93" s="59"/>
      <c r="D93" s="126"/>
      <c r="E93" s="66" t="s">
        <v>100</v>
      </c>
      <c r="F93" s="59"/>
      <c r="G93" s="60"/>
      <c r="H93" s="118"/>
      <c r="I93" s="73"/>
      <c r="J93" s="56"/>
    </row>
    <row r="94" spans="2:10" ht="15" customHeight="1" thickBot="1" x14ac:dyDescent="0.25">
      <c r="B94" s="61">
        <f>1+MAX($B$3:B93)</f>
        <v>30</v>
      </c>
      <c r="C94" s="81">
        <v>155214211</v>
      </c>
      <c r="D94" s="124"/>
      <c r="E94" s="82" t="s">
        <v>33</v>
      </c>
      <c r="F94" s="83" t="s">
        <v>8</v>
      </c>
      <c r="G94" s="84">
        <f>CEILING(((48+43)+(18+15))*1.2+(G82*0.35),1)</f>
        <v>596</v>
      </c>
      <c r="H94" s="116"/>
      <c r="I94" s="70">
        <f t="shared" ref="I94" si="20">G94*H94</f>
        <v>0</v>
      </c>
    </row>
    <row r="95" spans="2:10" ht="27" customHeight="1" x14ac:dyDescent="0.2">
      <c r="B95" s="57"/>
      <c r="C95" s="54"/>
      <c r="D95" s="125"/>
      <c r="E95" s="65" t="s">
        <v>162</v>
      </c>
      <c r="F95" s="54"/>
      <c r="G95" s="71"/>
      <c r="H95" s="117"/>
      <c r="I95" s="72"/>
    </row>
    <row r="96" spans="2:10" ht="38.1" customHeight="1" thickBot="1" x14ac:dyDescent="0.25">
      <c r="B96" s="58"/>
      <c r="C96" s="59"/>
      <c r="D96" s="126"/>
      <c r="E96" s="66" t="s">
        <v>73</v>
      </c>
      <c r="F96" s="59"/>
      <c r="G96" s="60"/>
      <c r="H96" s="118"/>
      <c r="I96" s="73"/>
    </row>
    <row r="97" spans="2:9" ht="15" customHeight="1" thickBot="1" x14ac:dyDescent="0.25">
      <c r="B97" s="61">
        <f>1+MAX($B$3:B96)</f>
        <v>31</v>
      </c>
      <c r="C97" s="81">
        <v>31452106</v>
      </c>
      <c r="D97" s="124"/>
      <c r="E97" s="82" t="s">
        <v>46</v>
      </c>
      <c r="F97" s="83" t="s">
        <v>8</v>
      </c>
      <c r="G97" s="84">
        <f>CEILING((G82*0.35)*1.2,1)</f>
        <v>536</v>
      </c>
      <c r="H97" s="116"/>
      <c r="I97" s="70">
        <f t="shared" si="17"/>
        <v>0</v>
      </c>
    </row>
    <row r="98" spans="2:9" ht="27" customHeight="1" x14ac:dyDescent="0.2">
      <c r="B98" s="57"/>
      <c r="C98" s="54"/>
      <c r="D98" s="125"/>
      <c r="E98" s="65" t="s">
        <v>74</v>
      </c>
      <c r="F98" s="54"/>
      <c r="G98" s="71"/>
      <c r="H98" s="117"/>
      <c r="I98" s="72"/>
    </row>
    <row r="99" spans="2:9" ht="27" customHeight="1" thickBot="1" x14ac:dyDescent="0.25">
      <c r="B99" s="58"/>
      <c r="C99" s="59"/>
      <c r="D99" s="126"/>
      <c r="E99" s="66" t="s">
        <v>117</v>
      </c>
      <c r="F99" s="59"/>
      <c r="G99" s="60"/>
      <c r="H99" s="118"/>
      <c r="I99" s="73"/>
    </row>
    <row r="100" spans="2:9" ht="15" customHeight="1" thickBot="1" x14ac:dyDescent="0.25">
      <c r="B100" s="61">
        <f>1+MAX($B$3:B99)</f>
        <v>32</v>
      </c>
      <c r="C100" s="80">
        <v>31452107</v>
      </c>
      <c r="D100" s="124"/>
      <c r="E100" s="82" t="s">
        <v>34</v>
      </c>
      <c r="F100" s="83" t="s">
        <v>8</v>
      </c>
      <c r="G100" s="84">
        <f>CEILING(((48+43)+(18+15))*1.2*1.2,1)</f>
        <v>179</v>
      </c>
      <c r="H100" s="116"/>
      <c r="I100" s="70">
        <f t="shared" si="17"/>
        <v>0</v>
      </c>
    </row>
    <row r="101" spans="2:9" ht="27" customHeight="1" x14ac:dyDescent="0.2">
      <c r="B101" s="57"/>
      <c r="C101" s="54"/>
      <c r="D101" s="125"/>
      <c r="E101" s="65" t="s">
        <v>163</v>
      </c>
      <c r="F101" s="54"/>
      <c r="G101" s="71"/>
      <c r="H101" s="117"/>
      <c r="I101" s="72"/>
    </row>
    <row r="102" spans="2:9" ht="27" customHeight="1" thickBot="1" x14ac:dyDescent="0.25">
      <c r="B102" s="58"/>
      <c r="C102" s="59"/>
      <c r="D102" s="126"/>
      <c r="E102" s="66" t="s">
        <v>50</v>
      </c>
      <c r="F102" s="59"/>
      <c r="G102" s="60"/>
      <c r="H102" s="118"/>
      <c r="I102" s="73"/>
    </row>
    <row r="103" spans="2:9" ht="15" customHeight="1" thickBot="1" x14ac:dyDescent="0.25">
      <c r="B103" s="61">
        <f>1+MAX($B$3:B102)</f>
        <v>33</v>
      </c>
      <c r="C103" s="81">
        <v>155213511</v>
      </c>
      <c r="D103" s="124"/>
      <c r="E103" s="82" t="s">
        <v>30</v>
      </c>
      <c r="F103" s="81" t="s">
        <v>82</v>
      </c>
      <c r="G103" s="84">
        <f>CEILING(G82/500,1)</f>
        <v>3</v>
      </c>
      <c r="H103" s="116"/>
      <c r="I103" s="70">
        <f t="shared" ref="I103" si="21">G103*H103</f>
        <v>0</v>
      </c>
    </row>
    <row r="104" spans="2:9" ht="15" customHeight="1" x14ac:dyDescent="0.2">
      <c r="B104" s="57"/>
      <c r="C104" s="54"/>
      <c r="D104" s="54"/>
      <c r="E104" s="65" t="s">
        <v>175</v>
      </c>
      <c r="F104" s="54"/>
      <c r="G104" s="71"/>
      <c r="H104" s="117"/>
      <c r="I104" s="72"/>
    </row>
    <row r="105" spans="2:9" ht="15" customHeight="1" thickBot="1" x14ac:dyDescent="0.25">
      <c r="B105" s="58"/>
      <c r="C105" s="59"/>
      <c r="D105" s="59"/>
      <c r="E105" s="66" t="s">
        <v>52</v>
      </c>
      <c r="F105" s="59"/>
      <c r="G105" s="60"/>
      <c r="H105" s="118"/>
      <c r="I105" s="73"/>
    </row>
    <row r="106" spans="2:9" ht="15" customHeight="1" thickBot="1" x14ac:dyDescent="0.25">
      <c r="B106" s="43"/>
      <c r="C106" s="39"/>
      <c r="D106" s="39"/>
      <c r="E106" s="42" t="s">
        <v>42</v>
      </c>
      <c r="F106" s="39"/>
      <c r="G106" s="39"/>
      <c r="H106" s="44"/>
      <c r="I106" s="74">
        <f>SUM(I107:I127)</f>
        <v>0</v>
      </c>
    </row>
    <row r="107" spans="2:9" ht="15" customHeight="1" thickBot="1" x14ac:dyDescent="0.25">
      <c r="B107" s="61">
        <f>1+MAX($B$3:B106)</f>
        <v>34</v>
      </c>
      <c r="C107" s="80" t="s">
        <v>93</v>
      </c>
      <c r="D107" s="81" t="s">
        <v>61</v>
      </c>
      <c r="E107" s="82" t="s">
        <v>94</v>
      </c>
      <c r="F107" s="83" t="s">
        <v>44</v>
      </c>
      <c r="G107" s="84">
        <f>CEILING(((G14*1.5+(G11+G70)*3+(G73+G103)*4)*0.0036)+(G17*0.0005)+((G23+G26)*0.0004)+(G5*0.012)+(G8*0.021)+(G91*0.0006)+(G85*0.00208)+(G97*0.00021+(G32+G100)*0.00032)+(2.5*2.3),0.01)</f>
        <v>18.52</v>
      </c>
      <c r="H107" s="116"/>
      <c r="I107" s="70">
        <f t="shared" ref="I107" si="22">G107*H107</f>
        <v>0</v>
      </c>
    </row>
    <row r="108" spans="2:9" ht="81.95" customHeight="1" x14ac:dyDescent="0.2">
      <c r="B108" s="57"/>
      <c r="C108" s="54"/>
      <c r="D108" s="54"/>
      <c r="E108" s="65" t="s">
        <v>176</v>
      </c>
      <c r="F108" s="56"/>
      <c r="G108" s="85"/>
      <c r="H108" s="117"/>
      <c r="I108" s="72"/>
    </row>
    <row r="109" spans="2:9" ht="15" customHeight="1" thickBot="1" x14ac:dyDescent="0.25">
      <c r="B109" s="57"/>
      <c r="C109" s="54"/>
      <c r="D109" s="54"/>
      <c r="E109" s="86" t="s">
        <v>53</v>
      </c>
      <c r="F109" s="54"/>
      <c r="G109" s="71"/>
      <c r="H109" s="117"/>
      <c r="I109" s="72"/>
    </row>
    <row r="110" spans="2:9" ht="15" customHeight="1" thickBot="1" x14ac:dyDescent="0.25">
      <c r="B110" s="61">
        <f>1+MAX($B$3:B109)</f>
        <v>35</v>
      </c>
      <c r="C110" s="62">
        <v>997002611</v>
      </c>
      <c r="D110" s="124"/>
      <c r="E110" s="87" t="s">
        <v>43</v>
      </c>
      <c r="F110" s="81" t="s">
        <v>44</v>
      </c>
      <c r="G110" s="84">
        <f>CEILING((G60)*2,0.01)</f>
        <v>99.2</v>
      </c>
      <c r="H110" s="116"/>
      <c r="I110" s="70">
        <f t="shared" ref="I110" si="23">G110*H110</f>
        <v>0</v>
      </c>
    </row>
    <row r="111" spans="2:9" ht="15" customHeight="1" x14ac:dyDescent="0.2">
      <c r="B111" s="57"/>
      <c r="C111" s="54"/>
      <c r="D111" s="125"/>
      <c r="E111" s="65" t="s">
        <v>164</v>
      </c>
      <c r="F111" s="54"/>
      <c r="G111" s="71"/>
      <c r="H111" s="117"/>
      <c r="I111" s="72"/>
    </row>
    <row r="112" spans="2:9" ht="15" customHeight="1" thickBot="1" x14ac:dyDescent="0.25">
      <c r="B112" s="58"/>
      <c r="C112" s="59"/>
      <c r="D112" s="126"/>
      <c r="E112" s="66" t="s">
        <v>78</v>
      </c>
      <c r="F112" s="59"/>
      <c r="G112" s="60"/>
      <c r="H112" s="118"/>
      <c r="I112" s="73"/>
    </row>
    <row r="113" spans="2:9" ht="15" customHeight="1" thickBot="1" x14ac:dyDescent="0.25">
      <c r="B113" s="61">
        <f>1+MAX($B$3:B112)</f>
        <v>36</v>
      </c>
      <c r="C113" s="62">
        <v>997013501</v>
      </c>
      <c r="D113" s="124"/>
      <c r="E113" s="88" t="s">
        <v>122</v>
      </c>
      <c r="F113" s="81" t="s">
        <v>44</v>
      </c>
      <c r="G113" s="84">
        <f>CEILING(G119+G125,0.01)</f>
        <v>165.66</v>
      </c>
      <c r="H113" s="116"/>
      <c r="I113" s="70">
        <f t="shared" ref="I113" si="24">G113*H113</f>
        <v>0</v>
      </c>
    </row>
    <row r="114" spans="2:9" ht="15" customHeight="1" x14ac:dyDescent="0.2">
      <c r="B114" s="57"/>
      <c r="C114" s="54"/>
      <c r="D114" s="125"/>
      <c r="E114" s="65" t="s">
        <v>166</v>
      </c>
      <c r="F114" s="54"/>
      <c r="G114" s="71"/>
      <c r="H114" s="117"/>
      <c r="I114" s="72"/>
    </row>
    <row r="115" spans="2:9" ht="27" customHeight="1" thickBot="1" x14ac:dyDescent="0.25">
      <c r="B115" s="58"/>
      <c r="C115" s="59"/>
      <c r="D115" s="126"/>
      <c r="E115" s="66" t="s">
        <v>167</v>
      </c>
      <c r="F115" s="59"/>
      <c r="G115" s="60"/>
      <c r="H115" s="118"/>
      <c r="I115" s="73"/>
    </row>
    <row r="116" spans="2:9" ht="15" customHeight="1" thickBot="1" x14ac:dyDescent="0.25">
      <c r="B116" s="61">
        <f>1+MAX($B$3:B115)</f>
        <v>37</v>
      </c>
      <c r="C116" s="62">
        <v>997013509</v>
      </c>
      <c r="D116" s="124"/>
      <c r="E116" s="88" t="s">
        <v>123</v>
      </c>
      <c r="F116" s="81" t="s">
        <v>45</v>
      </c>
      <c r="G116" s="84">
        <f>CEILING((G119+G125)*29+G122*10,0.01)</f>
        <v>4857.1400000000003</v>
      </c>
      <c r="H116" s="116"/>
      <c r="I116" s="70">
        <f t="shared" ref="I116" si="25">G116*H116</f>
        <v>0</v>
      </c>
    </row>
    <row r="117" spans="2:9" ht="15" customHeight="1" x14ac:dyDescent="0.2">
      <c r="B117" s="57"/>
      <c r="C117" s="54"/>
      <c r="D117" s="54"/>
      <c r="E117" s="65" t="s">
        <v>177</v>
      </c>
      <c r="F117" s="54"/>
      <c r="G117" s="89"/>
      <c r="H117" s="117"/>
      <c r="I117" s="72"/>
    </row>
    <row r="118" spans="2:9" ht="15" customHeight="1" thickBot="1" x14ac:dyDescent="0.25">
      <c r="B118" s="58"/>
      <c r="C118" s="59"/>
      <c r="D118" s="59"/>
      <c r="E118" s="66" t="s">
        <v>169</v>
      </c>
      <c r="F118" s="59"/>
      <c r="G118" s="60"/>
      <c r="H118" s="118"/>
      <c r="I118" s="73"/>
    </row>
    <row r="119" spans="2:9" ht="38.1" customHeight="1" thickBot="1" x14ac:dyDescent="0.25">
      <c r="B119" s="61">
        <f>1+MAX($B$3:B118)</f>
        <v>38</v>
      </c>
      <c r="C119" s="81" t="s">
        <v>68</v>
      </c>
      <c r="D119" s="81" t="s">
        <v>61</v>
      </c>
      <c r="E119" s="82" t="s">
        <v>113</v>
      </c>
      <c r="F119" s="81" t="s">
        <v>44</v>
      </c>
      <c r="G119" s="84">
        <f>CEILING((G60+G63-G44)*2+(G66)*1.9,0.01)</f>
        <v>164.1</v>
      </c>
      <c r="H119" s="121"/>
      <c r="I119" s="70">
        <f>G119*H119</f>
        <v>0</v>
      </c>
    </row>
    <row r="120" spans="2:9" ht="27" customHeight="1" x14ac:dyDescent="0.2">
      <c r="B120" s="57"/>
      <c r="C120" s="54"/>
      <c r="D120" s="54"/>
      <c r="E120" s="65" t="s">
        <v>165</v>
      </c>
      <c r="F120" s="54"/>
      <c r="G120" s="90"/>
      <c r="H120" s="117"/>
      <c r="I120" s="72"/>
    </row>
    <row r="121" spans="2:9" ht="38.1" customHeight="1" thickBot="1" x14ac:dyDescent="0.25">
      <c r="B121" s="58"/>
      <c r="C121" s="59"/>
      <c r="D121" s="59"/>
      <c r="E121" s="66" t="s">
        <v>183</v>
      </c>
      <c r="F121" s="59"/>
      <c r="G121" s="60"/>
      <c r="H121" s="118"/>
      <c r="I121" s="73"/>
    </row>
    <row r="122" spans="2:9" ht="27" customHeight="1" thickBot="1" x14ac:dyDescent="0.25">
      <c r="B122" s="61">
        <f>1+MAX($B$3:B121)</f>
        <v>39</v>
      </c>
      <c r="C122" s="81" t="s">
        <v>67</v>
      </c>
      <c r="D122" s="81" t="s">
        <v>61</v>
      </c>
      <c r="E122" s="82" t="s">
        <v>112</v>
      </c>
      <c r="F122" s="81" t="s">
        <v>44</v>
      </c>
      <c r="G122" s="84">
        <f>CEILING(G57*0.008,0.01)</f>
        <v>5.3</v>
      </c>
      <c r="H122" s="121"/>
      <c r="I122" s="70">
        <f t="shared" ref="I122" si="26">G122*H122</f>
        <v>0</v>
      </c>
    </row>
    <row r="123" spans="2:9" ht="15" customHeight="1" x14ac:dyDescent="0.2">
      <c r="B123" s="57"/>
      <c r="C123" s="54"/>
      <c r="D123" s="54"/>
      <c r="E123" s="65" t="s">
        <v>69</v>
      </c>
      <c r="F123" s="54"/>
      <c r="G123" s="91"/>
      <c r="H123" s="117"/>
      <c r="I123" s="72"/>
    </row>
    <row r="124" spans="2:9" ht="38.1" customHeight="1" thickBot="1" x14ac:dyDescent="0.25">
      <c r="B124" s="58"/>
      <c r="C124" s="59"/>
      <c r="D124" s="59"/>
      <c r="E124" s="66" t="s">
        <v>183</v>
      </c>
      <c r="F124" s="59"/>
      <c r="G124" s="60"/>
      <c r="H124" s="118"/>
      <c r="I124" s="73"/>
    </row>
    <row r="125" spans="2:9" ht="27" customHeight="1" thickBot="1" x14ac:dyDescent="0.25">
      <c r="B125" s="61">
        <f>1+MAX($B$3:B124)</f>
        <v>40</v>
      </c>
      <c r="C125" s="81" t="s">
        <v>70</v>
      </c>
      <c r="D125" s="81" t="s">
        <v>61</v>
      </c>
      <c r="E125" s="82" t="s">
        <v>111</v>
      </c>
      <c r="F125" s="81" t="s">
        <v>44</v>
      </c>
      <c r="G125" s="84">
        <f>CEILING(((PI()*(0.2^2)*1.8)*0.5*G51)*1.25,0.01)</f>
        <v>1.56</v>
      </c>
      <c r="H125" s="121"/>
      <c r="I125" s="70">
        <f t="shared" ref="I125" si="27">G125*H125</f>
        <v>0</v>
      </c>
    </row>
    <row r="126" spans="2:9" ht="15" customHeight="1" x14ac:dyDescent="0.2">
      <c r="B126" s="57"/>
      <c r="C126" s="54"/>
      <c r="D126" s="54"/>
      <c r="E126" s="65" t="s">
        <v>178</v>
      </c>
      <c r="F126" s="54"/>
      <c r="G126" s="91"/>
      <c r="H126" s="117"/>
      <c r="I126" s="72"/>
    </row>
    <row r="127" spans="2:9" ht="38.1" customHeight="1" thickBot="1" x14ac:dyDescent="0.25">
      <c r="B127" s="58"/>
      <c r="C127" s="59"/>
      <c r="D127" s="59"/>
      <c r="E127" s="66" t="s">
        <v>183</v>
      </c>
      <c r="F127" s="59"/>
      <c r="G127" s="60"/>
      <c r="H127" s="118"/>
      <c r="I127" s="73"/>
    </row>
    <row r="128" spans="2:9" ht="15" customHeight="1" thickBot="1" x14ac:dyDescent="0.25">
      <c r="B128" s="43"/>
      <c r="C128" s="39"/>
      <c r="D128" s="39"/>
      <c r="E128" s="42" t="s">
        <v>14</v>
      </c>
      <c r="F128" s="39"/>
      <c r="G128" s="39"/>
      <c r="H128" s="44"/>
      <c r="I128" s="74">
        <f>SUM(I129:I143)</f>
        <v>0</v>
      </c>
    </row>
    <row r="129" spans="2:10" ht="15" customHeight="1" thickBot="1" x14ac:dyDescent="0.25">
      <c r="B129" s="61">
        <f>1+MAX($B$3:B128)</f>
        <v>41</v>
      </c>
      <c r="C129" s="63" t="s">
        <v>36</v>
      </c>
      <c r="D129" s="63" t="s">
        <v>60</v>
      </c>
      <c r="E129" s="77" t="s">
        <v>22</v>
      </c>
      <c r="F129" s="62" t="s">
        <v>23</v>
      </c>
      <c r="G129" s="75">
        <f>1</f>
        <v>1</v>
      </c>
      <c r="H129" s="122"/>
      <c r="I129" s="70">
        <f t="shared" si="17"/>
        <v>0</v>
      </c>
      <c r="J129" s="37"/>
    </row>
    <row r="130" spans="2:10" ht="15" customHeight="1" x14ac:dyDescent="0.2">
      <c r="B130" s="57"/>
      <c r="C130" s="54"/>
      <c r="D130" s="54"/>
      <c r="E130" s="65" t="s">
        <v>55</v>
      </c>
      <c r="F130" s="54"/>
      <c r="G130" s="71"/>
      <c r="H130" s="117"/>
      <c r="I130" s="72"/>
      <c r="J130" s="37"/>
    </row>
    <row r="131" spans="2:10" ht="15" customHeight="1" thickBot="1" x14ac:dyDescent="0.25">
      <c r="B131" s="58"/>
      <c r="C131" s="59"/>
      <c r="D131" s="59"/>
      <c r="E131" s="66" t="s">
        <v>168</v>
      </c>
      <c r="F131" s="59"/>
      <c r="G131" s="60"/>
      <c r="H131" s="118"/>
      <c r="I131" s="73"/>
      <c r="J131" s="37"/>
    </row>
    <row r="132" spans="2:10" ht="15" customHeight="1" thickBot="1" x14ac:dyDescent="0.25">
      <c r="B132" s="61">
        <f>1+MAX($B$3:B131)</f>
        <v>42</v>
      </c>
      <c r="C132" s="63" t="s">
        <v>37</v>
      </c>
      <c r="D132" s="63" t="s">
        <v>60</v>
      </c>
      <c r="E132" s="77" t="s">
        <v>24</v>
      </c>
      <c r="F132" s="62" t="s">
        <v>23</v>
      </c>
      <c r="G132" s="75">
        <f>1</f>
        <v>1</v>
      </c>
      <c r="H132" s="122"/>
      <c r="I132" s="70">
        <f t="shared" si="17"/>
        <v>0</v>
      </c>
      <c r="J132" s="37"/>
    </row>
    <row r="133" spans="2:10" ht="15" customHeight="1" x14ac:dyDescent="0.2">
      <c r="B133" s="57"/>
      <c r="C133" s="54"/>
      <c r="D133" s="54"/>
      <c r="E133" s="65" t="s">
        <v>55</v>
      </c>
      <c r="F133" s="54"/>
      <c r="G133" s="71"/>
      <c r="H133" s="117"/>
      <c r="I133" s="72"/>
      <c r="J133" s="37"/>
    </row>
    <row r="134" spans="2:10" ht="15" customHeight="1" thickBot="1" x14ac:dyDescent="0.25">
      <c r="B134" s="58"/>
      <c r="C134" s="59"/>
      <c r="D134" s="59"/>
      <c r="E134" s="66" t="s">
        <v>54</v>
      </c>
      <c r="F134" s="59"/>
      <c r="G134" s="60"/>
      <c r="H134" s="118"/>
      <c r="I134" s="73"/>
      <c r="J134" s="37"/>
    </row>
    <row r="135" spans="2:10" ht="15" customHeight="1" thickBot="1" x14ac:dyDescent="0.25">
      <c r="B135" s="61">
        <f>1+MAX($B$3:B134)</f>
        <v>43</v>
      </c>
      <c r="C135" s="63" t="s">
        <v>38</v>
      </c>
      <c r="D135" s="63" t="s">
        <v>60</v>
      </c>
      <c r="E135" s="77" t="s">
        <v>26</v>
      </c>
      <c r="F135" s="62" t="s">
        <v>23</v>
      </c>
      <c r="G135" s="75">
        <f>1</f>
        <v>1</v>
      </c>
      <c r="H135" s="122"/>
      <c r="I135" s="70">
        <f t="shared" si="17"/>
        <v>0</v>
      </c>
      <c r="J135" s="37"/>
    </row>
    <row r="136" spans="2:10" ht="15" customHeight="1" x14ac:dyDescent="0.2">
      <c r="B136" s="57"/>
      <c r="C136" s="54"/>
      <c r="D136" s="54"/>
      <c r="E136" s="65" t="s">
        <v>56</v>
      </c>
      <c r="F136" s="54"/>
      <c r="G136" s="71"/>
      <c r="H136" s="117"/>
      <c r="I136" s="72"/>
      <c r="J136" s="37"/>
    </row>
    <row r="137" spans="2:10" ht="15" customHeight="1" thickBot="1" x14ac:dyDescent="0.25">
      <c r="B137" s="58"/>
      <c r="C137" s="59"/>
      <c r="D137" s="59"/>
      <c r="E137" s="66" t="s">
        <v>57</v>
      </c>
      <c r="F137" s="59"/>
      <c r="G137" s="60"/>
      <c r="H137" s="118"/>
      <c r="I137" s="73"/>
      <c r="J137" s="37"/>
    </row>
    <row r="138" spans="2:10" ht="15" customHeight="1" thickBot="1" x14ac:dyDescent="0.25">
      <c r="B138" s="61">
        <f>1+MAX($B$3:B137)</f>
        <v>44</v>
      </c>
      <c r="C138" s="64" t="s">
        <v>39</v>
      </c>
      <c r="D138" s="64" t="s">
        <v>60</v>
      </c>
      <c r="E138" s="78" t="s">
        <v>27</v>
      </c>
      <c r="F138" s="62" t="s">
        <v>23</v>
      </c>
      <c r="G138" s="76">
        <f>1</f>
        <v>1</v>
      </c>
      <c r="H138" s="123"/>
      <c r="I138" s="70">
        <f t="shared" si="17"/>
        <v>0</v>
      </c>
      <c r="J138" s="37"/>
    </row>
    <row r="139" spans="2:10" ht="15" customHeight="1" x14ac:dyDescent="0.2">
      <c r="B139" s="57"/>
      <c r="C139" s="54"/>
      <c r="D139" s="54"/>
      <c r="E139" s="65" t="s">
        <v>55</v>
      </c>
      <c r="F139" s="54"/>
      <c r="G139" s="71"/>
      <c r="H139" s="117"/>
      <c r="I139" s="72"/>
      <c r="J139" s="37"/>
    </row>
    <row r="140" spans="2:10" ht="24.75" thickBot="1" x14ac:dyDescent="0.25">
      <c r="B140" s="58"/>
      <c r="C140" s="59"/>
      <c r="D140" s="59"/>
      <c r="E140" s="66" t="s">
        <v>71</v>
      </c>
      <c r="F140" s="59"/>
      <c r="G140" s="60"/>
      <c r="H140" s="118"/>
      <c r="I140" s="73"/>
      <c r="J140" s="37"/>
    </row>
    <row r="141" spans="2:10" ht="15" customHeight="1" thickBot="1" x14ac:dyDescent="0.25">
      <c r="B141" s="61">
        <f>1+MAX($B$3:B140)</f>
        <v>45</v>
      </c>
      <c r="C141" s="63" t="s">
        <v>40</v>
      </c>
      <c r="D141" s="63" t="s">
        <v>60</v>
      </c>
      <c r="E141" s="77" t="s">
        <v>25</v>
      </c>
      <c r="F141" s="62" t="s">
        <v>23</v>
      </c>
      <c r="G141" s="75">
        <f>1</f>
        <v>1</v>
      </c>
      <c r="H141" s="116"/>
      <c r="I141" s="70">
        <f t="shared" si="17"/>
        <v>0</v>
      </c>
      <c r="J141" s="37"/>
    </row>
    <row r="142" spans="2:10" ht="15" customHeight="1" x14ac:dyDescent="0.2">
      <c r="B142" s="57"/>
      <c r="C142" s="54"/>
      <c r="D142" s="54"/>
      <c r="E142" s="65" t="s">
        <v>55</v>
      </c>
      <c r="F142" s="54"/>
      <c r="G142" s="71"/>
      <c r="H142" s="117"/>
      <c r="I142" s="72"/>
      <c r="J142" s="37"/>
    </row>
    <row r="143" spans="2:10" ht="15" customHeight="1" thickBot="1" x14ac:dyDescent="0.25">
      <c r="B143" s="58"/>
      <c r="C143" s="59"/>
      <c r="D143" s="59"/>
      <c r="E143" s="66" t="s">
        <v>58</v>
      </c>
      <c r="F143" s="59"/>
      <c r="G143" s="60"/>
      <c r="H143" s="118"/>
      <c r="I143" s="73"/>
      <c r="J143" s="37"/>
    </row>
  </sheetData>
  <sheetProtection password="CBD3" sheet="1" objects="1" scenarios="1"/>
  <protectedRanges>
    <protectedRange sqref="E103" name="Oblast1_4_1_1_1_2"/>
    <protectedRange sqref="F66" name="Oblast1_3_3_1_3"/>
    <protectedRange sqref="C23 C26 E23" name="Oblast1_3_1_1_1_1_1"/>
  </protectedRanges>
  <printOptions horizontalCentered="1"/>
  <pageMargins left="0.19685039370078741" right="0.19685039370078741" top="0.78740157480314965" bottom="0.39370078740157483" header="0" footer="0"/>
  <pageSetup paperSize="9" scale="97" firstPageNumber="0" fitToHeight="3" orientation="landscape" horizontalDpi="300" verticalDpi="300" r:id="rId1"/>
  <headerFooter alignWithMargins="0">
    <oddFooter>&amp;C&amp;"Arial CE,Běžné"&amp;7  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Krycí list</vt:lpstr>
      <vt:lpstr>E Položkový rozpočet</vt:lpstr>
      <vt:lpstr>__xlnm.Print_Area_2</vt:lpstr>
      <vt:lpstr>'E Položkový rozpočet'!Názvy_tisku</vt:lpstr>
      <vt:lpstr>'E Položkový rozpočet'!Oblast_tisku</vt:lpstr>
      <vt:lpstr>'Krycí list'!Oblast_tisku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Ing. Ondřej Holý</cp:lastModifiedBy>
  <cp:lastPrinted>2024-10-15T14:53:18Z</cp:lastPrinted>
  <dcterms:created xsi:type="dcterms:W3CDTF">2010-05-13T13:15:26Z</dcterms:created>
  <dcterms:modified xsi:type="dcterms:W3CDTF">2025-02-18T08:20:38Z</dcterms:modified>
</cp:coreProperties>
</file>